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2e886690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rals" sheetId="1" r:id="R16ce93026cf54bc7"/>
    <x:sheet xmlns:r="http://schemas.openxmlformats.org/officeDocument/2006/relationships" name="Payments" sheetId="2" r:id="R23602f0bae2f48b5"/>
    <x:sheet xmlns:r="http://schemas.openxmlformats.org/officeDocument/2006/relationships" name="Confirmations" sheetId="3" r:id="R8215006cdea049d6"/>
    <x:sheet xmlns:r="http://schemas.openxmlformats.org/officeDocument/2006/relationships" name="Meetings" sheetId="4" r:id="R45e8f4db95364043"/>
    <x:sheet xmlns:r="http://schemas.openxmlformats.org/officeDocument/2006/relationships" name="Bonus Balances" sheetId="5" r:id="Rd72e4107f8fc40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yyyy-mm-dd"/>
    <x:numFmt numFmtId="201" formatCode="$#,##0.00"/>
    <x:numFmt numFmtId="202" formatCode="0%"/>
    <x:numFmt numFmtId="203" formatCode="General"/>
    <x:numFmt numFmtId="204" formatCode="0"/>
    <x:numFmt numFmtId="205" formatCode="$#,##0.00;($#,##0.00);&quot;—&quot;"/>
    <x:numFmt numFmtId="206" formatCode="0.00%"/>
  </x:numFmts>
  <x:fonts count="7">
    <x:font>
      <x:sz val="11"/>
      <x:name val="Carlito"/>
    </x:font>
    <x:font>
      <x:sz val="10"/>
      <x:color rgb="FF18181A"/>
      <x:name val="Arial"/>
    </x:font>
    <x:font>
      <x:b/>
      <x:sz val="16"/>
      <x:color rgb="FF18181A"/>
      <x:name val="Arial"/>
    </x:font>
    <x:font>
      <x:sz val="10"/>
      <x:color rgb="FF66635E"/>
      <x:name val="Arial"/>
    </x:font>
    <x:font>
      <x:b/>
      <x:sz val="10"/>
      <x:color rgb="FFFFFFFF"/>
      <x:name val="Arial"/>
    </x:font>
    <x:font>
      <x:sz val="10"/>
      <x:color rgb="FF9A681C"/>
      <x:name val="Arial"/>
    </x:font>
    <x:font>
      <x:sz val="10"/>
      <x:color rgb="FF245D4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81B"/>
      </x:patternFill>
    </x:fill>
    <x:fill>
      <x:patternFill patternType="solid">
        <x:fgColor rgb="FFFFFDF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DD7CE"/>
      </x:bottom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1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1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5" fillId="3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3" fontId="5" fillId="3" borderId="1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200" fontId="5" fillId="3" borderId="1" xfId="0" applyNumberFormat="1" applyFont="1" applyFill="1" applyBorder="1" applyAlignment="1">
      <x:alignment vertical="center" wrapText="1"/>
    </x:xf>
    <x:xf numFmtId="203" fontId="5" fillId="3" borderId="1" xfId="0" applyNumberFormat="1" applyFont="1" applyFill="1" applyBorder="1" applyAlignment="1">
      <x:alignment vertical="center" wrapText="1"/>
    </x:xf>
    <x:xf numFmtId="204" fontId="5" fillId="3" borderId="0" xfId="0" applyNumberFormat="1" applyFont="1" applyFill="1" applyBorder="1" applyAlignment="1">
      <x:alignment vertical="center" wrapText="1"/>
    </x:xf>
    <x:xf numFmtId="204" fontId="5" fillId="3" borderId="1" xfId="0" applyNumberFormat="1" applyFont="1" applyFill="1" applyBorder="1" applyAlignment="1">
      <x:alignment vertical="center" wrapText="1"/>
    </x:xf>
    <x:xf numFmtId="205" fontId="5" fillId="3" borderId="0" xfId="0" applyNumberFormat="1" applyFont="1" applyFill="1" applyBorder="1" applyAlignment="1">
      <x:alignment vertical="center" wrapText="1"/>
    </x:xf>
    <x:xf numFmtId="205" fontId="5" fillId="3" borderId="1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4" fontId="6" fillId="3" borderId="0" xfId="0" applyNumberFormat="1" applyFont="1" applyFill="1" applyBorder="1" applyAlignment="1">
      <x:alignment vertical="center" wrapText="1"/>
    </x:xf>
    <x:xf numFmtId="205" fontId="6" fillId="3" borderId="0" xfId="0" applyNumberFormat="1" applyFont="1" applyFill="1" applyBorder="1" applyAlignment="1">
      <x:alignment vertical="center" wrapText="1"/>
    </x:xf>
    <x:xf numFmtId="204" fontId="6" fillId="3" borderId="1" xfId="0" applyNumberFormat="1" applyFont="1" applyFill="1" applyBorder="1" applyAlignment="1">
      <x:alignment vertical="center" wrapText="1"/>
    </x:xf>
    <x:xf numFmtId="205" fontId="6" fillId="3" borderId="1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3" borderId="1" xfId="0" applyNumberFormat="1" applyFont="1" applyFill="1" applyBorder="1" applyAlignment="1">
      <x:alignment vertical="center" wrapText="1"/>
    </x:xf>
    <x:xf numFmtId="206" fontId="6" fillId="3" borderId="0" xfId="0" applyNumberFormat="1" applyFont="1" applyFill="1" applyBorder="1" applyAlignment="1">
      <x:alignment vertical="center" wrapText="1"/>
    </x:xf>
    <x:xf numFmtId="203" fontId="6" fillId="3" borderId="0" xfId="0" applyNumberFormat="1" applyFont="1" applyFill="1" applyBorder="1" applyAlignment="1">
      <x:alignment vertical="center" wrapText="1"/>
    </x:xf>
    <x:xf numFmtId="206" fontId="5" fillId="3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46a69ebb0498e" /><Relationship Type="http://schemas.openxmlformats.org/officeDocument/2006/relationships/theme" Target="/xl/theme/theme1.xml" Id="Re19d99a5b7cf4239" /><Relationship Type="http://schemas.openxmlformats.org/officeDocument/2006/relationships/sharedStrings" Target="/xl/sharedStrings.xml" Id="R87120d36288048e8" /><Relationship Type="http://schemas.openxmlformats.org/officeDocument/2006/relationships/worksheet" Target="/xl/worksheets/sheet1.xml" Id="R16ce93026cf54bc7" /><Relationship Type="http://schemas.openxmlformats.org/officeDocument/2006/relationships/worksheet" Target="/xl/worksheets/sheet2.xml" Id="R23602f0bae2f48b5" /><Relationship Type="http://schemas.openxmlformats.org/officeDocument/2006/relationships/worksheet" Target="/xl/worksheets/sheet3.xml" Id="R8215006cdea049d6" /><Relationship Type="http://schemas.openxmlformats.org/officeDocument/2006/relationships/worksheet" Target="/xl/worksheets/sheet4.xml" Id="R45e8f4db95364043" /><Relationship Type="http://schemas.openxmlformats.org/officeDocument/2006/relationships/worksheet" Target="/xl/worksheets/sheet5.xml" Id="Rd72e4107f8fc40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DB963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7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35" hidden="0" customWidth="1"/>
    <x:col min="11" max="11" width="35" hidden="0" customWidth="1"/>
    <x:col min="12" max="12" width="34" hidden="0" customWidth="1"/>
    <x:col min="13" max="13" width="25" hidden="0" customWidth="1"/>
    <x:col min="14" max="14" width="25" hidden="0" customWidth="1"/>
    <x:col min="15" max="15" width="25" hidden="0" customWidth="1"/>
    <x:col min="16" max="16" width="45" hidden="0" customWidth="1"/>
    <x:col min="17" max="17" width="38" hidden="0" customWidth="1"/>
    <x:col min="18" max="18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Inquiry Lift Partner Book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Private pilot records. Record written acceptance before marking a referral accepted.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8" t="str">
        <x:v>Referral ID</x:v>
      </x:c>
      <x:c r="B5" s="8" t="str">
        <x:v>Partner ID / email</x:v>
      </x:c>
      <x:c r="C5" s="8" t="str">
        <x:v>Company / client ID</x:v>
      </x:c>
      <x:c r="D5" s="8" t="str">
        <x:v>Track / agreed terms</x:v>
      </x:c>
      <x:c r="E5" s="8" t="str">
        <x:v>Status</x:v>
      </x:c>
      <x:c r="F5" s="8" t="str">
        <x:v>Introduction date</x:v>
      </x:c>
      <x:c r="G5" s="8" t="str">
        <x:v>Acceptance date</x:v>
      </x:c>
      <x:c r="H5" s="8" t="str">
        <x:v>First cleared payment</x:v>
      </x:c>
      <x:c r="I5" s="8" t="str">
        <x:v>Window end (exclusive)</x:v>
      </x:c>
      <x:c r="J5" s="8" t="str">
        <x:v>Confirmation thread</x:v>
      </x:c>
      <x:c r="K5" s="8" t="str">
        <x:v>Reason / next step</x:v>
      </x:c>
      <x:c r="L5" s="8" t="str">
        <x:v>Retainer terms basis</x:v>
      </x:c>
      <x:c r="M5" s="8" t="str">
        <x:v>First retainer agreed</x:v>
      </x:c>
      <x:c r="N5" s="8" t="str">
        <x:v>First retainer payment cleared</x:v>
      </x:c>
      <x:c r="O5" s="8" t="str">
        <x:v>Retainer end (exclusive)</x:v>
      </x:c>
      <x:c r="P5" s="8" t="str">
        <x:v>Date check / terms confirmation</x:v>
      </x:c>
      <x:c r="Q5" s="8" t="str">
        <x:v>Approved joint bonus recipient</x:v>
      </x:c>
      <x:c r="R5" s="8" t="str">
        <x:v>Joint attribution / recipient approval evidence</x:v>
      </x:c>
    </x:row>
    <x:row r="6" ht="28" customHeight="1">
      <x:c r="A6" s="11"/>
      <x:c r="B6" s="11"/>
      <x:c r="C6" s="11"/>
      <x:c r="D6" s="11"/>
      <x:c r="E6" s="11"/>
      <x:c r="F6" s="13"/>
      <x:c r="G6" s="13"/>
      <x:c r="H6" s="13"/>
      <x:c r="I6" s="15" t="str">
        <x:f>IF(OR(D6="Direct referral",D6="Outbound opportunity"),IF(H6="","",EDATE(H6,12)),IF(D6="Business-partner referral",IF(F6="","",EDATE(F6,12)),""))</x:f>
      </x:c>
      <x:c r="J6" s="11"/>
      <x:c r="K6" s="11"/>
      <x:c r="L6" s="22"/>
      <x:c r="M6" s="13"/>
      <x:c r="N6" s="13"/>
      <x:c r="O6" s="15" t="str">
        <x:f>IF(L6="Separate outbound window",IF(AND(D6="Outbound opportunity",ISNUMBER(H6),ISNUMBER(I6),ISNUMBER(M6),ISNUMBER(N6),M6&lt;=N6,M6&lt;I6,N6&gt;=H6,N6&lt;I6),EDATE(N6,12),""),IF(AND(L6="Original client window",OR(D6="Direct referral",D6="Outbound opportunity")),I6,""))</x:f>
      </x:c>
      <x:c r="P6" s="24" t="str">
        <x:f>IF(L6="","",IF(L6="Separate outbound window",IF(D6&lt;&gt;"Outbound opportunity","Not an outbound opportunity",IF(OR(H6="",M6="",N6=""),"Add client, agreement and retainer dates",IF(AND(D6="Outbound opportunity",ISNUMBER(H6),ISNUMBER(I6),ISNUMBER(M6),ISNUMBER(N6),M6&lt;=N6,M6&lt;I6,N6&gt;=H6,N6&lt;I6),"Dates fit; confirm new terms in writing","Review dates: outside entry window or out of order"))),"Use original written terms; no automatic extension"))</x:f>
      </x:c>
      <x:c r="Q6" s="30"/>
      <x:c r="R6" s="30"/>
    </x:row>
    <x:row r="7" ht="28" customHeight="1">
      <x:c r="A7" s="11"/>
      <x:c r="B7" s="11"/>
      <x:c r="C7" s="11"/>
      <x:c r="D7" s="11"/>
      <x:c r="E7" s="11"/>
      <x:c r="F7" s="13"/>
      <x:c r="G7" s="13"/>
      <x:c r="H7" s="13"/>
      <x:c r="I7" s="15" t="str">
        <x:f>IF(OR(D7="Direct referral",D7="Outbound opportunity"),IF(H7="","",EDATE(H7,12)),IF(D7="Business-partner referral",IF(F7="","",EDATE(F7,12)),""))</x:f>
      </x:c>
      <x:c r="J7" s="11"/>
      <x:c r="K7" s="11"/>
      <x:c r="L7" s="22"/>
      <x:c r="M7" s="13"/>
      <x:c r="N7" s="13"/>
      <x:c r="O7" s="15" t="str">
        <x:f>IF(L7="Separate outbound window",IF(AND(D7="Outbound opportunity",ISNUMBER(H7),ISNUMBER(I7),ISNUMBER(M7),ISNUMBER(N7),M7&lt;=N7,M7&lt;I7,N7&gt;=H7,N7&lt;I7),EDATE(N7,12),""),IF(AND(L7="Original client window",OR(D7="Direct referral",D7="Outbound opportunity")),I7,""))</x:f>
      </x:c>
      <x:c r="P7" s="24" t="str">
        <x:f>IF(L7="","",IF(L7="Separate outbound window",IF(D7&lt;&gt;"Outbound opportunity","Not an outbound opportunity",IF(OR(H7="",M7="",N7=""),"Add client, agreement and retainer dates",IF(AND(D7="Outbound opportunity",ISNUMBER(H7),ISNUMBER(I7),ISNUMBER(M7),ISNUMBER(N7),M7&lt;=N7,M7&lt;I7,N7&gt;=H7,N7&lt;I7),"Dates fit; confirm new terms in writing","Review dates: outside entry window or out of order"))),"Use original written terms; no automatic extension"))</x:f>
      </x:c>
      <x:c r="Q7" s="30"/>
      <x:c r="R7" s="30"/>
    </x:row>
    <x:row r="8" ht="28" customHeight="1">
      <x:c r="A8" s="11"/>
      <x:c r="B8" s="11"/>
      <x:c r="C8" s="11"/>
      <x:c r="D8" s="11"/>
      <x:c r="E8" s="11"/>
      <x:c r="F8" s="13"/>
      <x:c r="G8" s="13"/>
      <x:c r="H8" s="13"/>
      <x:c r="I8" s="15" t="str">
        <x:f>IF(OR(D8="Direct referral",D8="Outbound opportunity"),IF(H8="","",EDATE(H8,12)),IF(D8="Business-partner referral",IF(F8="","",EDATE(F8,12)),""))</x:f>
      </x:c>
      <x:c r="J8" s="11"/>
      <x:c r="K8" s="11"/>
      <x:c r="L8" s="22"/>
      <x:c r="M8" s="13"/>
      <x:c r="N8" s="13"/>
      <x:c r="O8" s="15" t="str">
        <x:f>IF(L8="Separate outbound window",IF(AND(D8="Outbound opportunity",ISNUMBER(H8),ISNUMBER(I8),ISNUMBER(M8),ISNUMBER(N8),M8&lt;=N8,M8&lt;I8,N8&gt;=H8,N8&lt;I8),EDATE(N8,12),""),IF(AND(L8="Original client window",OR(D8="Direct referral",D8="Outbound opportunity")),I8,""))</x:f>
      </x:c>
      <x:c r="P8" s="24" t="str">
        <x:f>IF(L8="","",IF(L8="Separate outbound window",IF(D8&lt;&gt;"Outbound opportunity","Not an outbound opportunity",IF(OR(H8="",M8="",N8=""),"Add client, agreement and retainer dates",IF(AND(D8="Outbound opportunity",ISNUMBER(H8),ISNUMBER(I8),ISNUMBER(M8),ISNUMBER(N8),M8&lt;=N8,M8&lt;I8,N8&gt;=H8,N8&lt;I8),"Dates fit; confirm new terms in writing","Review dates: outside entry window or out of order"))),"Use original written terms; no automatic extension"))</x:f>
      </x:c>
      <x:c r="Q8" s="30"/>
      <x:c r="R8" s="30"/>
    </x:row>
    <x:row r="9" ht="28" customHeight="1">
      <x:c r="A9" s="11"/>
      <x:c r="B9" s="11"/>
      <x:c r="C9" s="11"/>
      <x:c r="D9" s="11"/>
      <x:c r="E9" s="11"/>
      <x:c r="F9" s="13"/>
      <x:c r="G9" s="13"/>
      <x:c r="H9" s="13"/>
      <x:c r="I9" s="15" t="str">
        <x:f>IF(OR(D9="Direct referral",D9="Outbound opportunity"),IF(H9="","",EDATE(H9,12)),IF(D9="Business-partner referral",IF(F9="","",EDATE(F9,12)),""))</x:f>
      </x:c>
      <x:c r="J9" s="11"/>
      <x:c r="K9" s="11"/>
      <x:c r="L9" s="22"/>
      <x:c r="M9" s="13"/>
      <x:c r="N9" s="13"/>
      <x:c r="O9" s="15" t="str">
        <x:f>IF(L9="Separate outbound window",IF(AND(D9="Outbound opportunity",ISNUMBER(H9),ISNUMBER(I9),ISNUMBER(M9),ISNUMBER(N9),M9&lt;=N9,M9&lt;I9,N9&gt;=H9,N9&lt;I9),EDATE(N9,12),""),IF(AND(L9="Original client window",OR(D9="Direct referral",D9="Outbound opportunity")),I9,""))</x:f>
      </x:c>
      <x:c r="P9" s="24" t="str">
        <x:f>IF(L9="","",IF(L9="Separate outbound window",IF(D9&lt;&gt;"Outbound opportunity","Not an outbound opportunity",IF(OR(H9="",M9="",N9=""),"Add client, agreement and retainer dates",IF(AND(D9="Outbound opportunity",ISNUMBER(H9),ISNUMBER(I9),ISNUMBER(M9),ISNUMBER(N9),M9&lt;=N9,M9&lt;I9,N9&gt;=H9,N9&lt;I9),"Dates fit; confirm new terms in writing","Review dates: outside entry window or out of order"))),"Use original written terms; no automatic extension"))</x:f>
      </x:c>
      <x:c r="Q9" s="30"/>
      <x:c r="R9" s="30"/>
    </x:row>
    <x:row r="10" ht="28" customHeight="1">
      <x:c r="A10" s="11"/>
      <x:c r="B10" s="11"/>
      <x:c r="C10" s="11"/>
      <x:c r="D10" s="11"/>
      <x:c r="E10" s="11"/>
      <x:c r="F10" s="13"/>
      <x:c r="G10" s="13"/>
      <x:c r="H10" s="13"/>
      <x:c r="I10" s="15" t="str">
        <x:f>IF(OR(D10="Direct referral",D10="Outbound opportunity"),IF(H10="","",EDATE(H10,12)),IF(D10="Business-partner referral",IF(F10="","",EDATE(F10,12)),""))</x:f>
      </x:c>
      <x:c r="J10" s="11"/>
      <x:c r="K10" s="11"/>
      <x:c r="L10" s="22"/>
      <x:c r="M10" s="13"/>
      <x:c r="N10" s="13"/>
      <x:c r="O10" s="15" t="str">
        <x:f>IF(L10="Separate outbound window",IF(AND(D10="Outbound opportunity",ISNUMBER(H10),ISNUMBER(I10),ISNUMBER(M10),ISNUMBER(N10),M10&lt;=N10,M10&lt;I10,N10&gt;=H10,N10&lt;I10),EDATE(N10,12),""),IF(AND(L10="Original client window",OR(D10="Direct referral",D10="Outbound opportunity")),I10,""))</x:f>
      </x:c>
      <x:c r="P10" s="24" t="str">
        <x:f>IF(L10="","",IF(L10="Separate outbound window",IF(D10&lt;&gt;"Outbound opportunity","Not an outbound opportunity",IF(OR(H10="",M10="",N10=""),"Add client, agreement and retainer dates",IF(AND(D10="Outbound opportunity",ISNUMBER(H10),ISNUMBER(I10),ISNUMBER(M10),ISNUMBER(N10),M10&lt;=N10,M10&lt;I10,N10&gt;=H10,N10&lt;I10),"Dates fit; confirm new terms in writing","Review dates: outside entry window or out of order"))),"Use original written terms; no automatic extension"))</x:f>
      </x:c>
      <x:c r="Q10" s="30"/>
      <x:c r="R10" s="30"/>
    </x:row>
    <x:row r="11" ht="28" customHeight="1">
      <x:c r="A11" s="11"/>
      <x:c r="B11" s="11"/>
      <x:c r="C11" s="11"/>
      <x:c r="D11" s="11"/>
      <x:c r="E11" s="11"/>
      <x:c r="F11" s="13"/>
      <x:c r="G11" s="13"/>
      <x:c r="H11" s="13"/>
      <x:c r="I11" s="15" t="str">
        <x:f>IF(OR(D11="Direct referral",D11="Outbound opportunity"),IF(H11="","",EDATE(H11,12)),IF(D11="Business-partner referral",IF(F11="","",EDATE(F11,12)),""))</x:f>
      </x:c>
      <x:c r="J11" s="11"/>
      <x:c r="K11" s="11"/>
      <x:c r="L11" s="22"/>
      <x:c r="M11" s="13"/>
      <x:c r="N11" s="13"/>
      <x:c r="O11" s="15" t="str">
        <x:f>IF(L11="Separate outbound window",IF(AND(D11="Outbound opportunity",ISNUMBER(H11),ISNUMBER(I11),ISNUMBER(M11),ISNUMBER(N11),M11&lt;=N11,M11&lt;I11,N11&gt;=H11,N11&lt;I11),EDATE(N11,12),""),IF(AND(L11="Original client window",OR(D11="Direct referral",D11="Outbound opportunity")),I11,""))</x:f>
      </x:c>
      <x:c r="P11" s="24" t="str">
        <x:f>IF(L11="","",IF(L11="Separate outbound window",IF(D11&lt;&gt;"Outbound opportunity","Not an outbound opportunity",IF(OR(H11="",M11="",N11=""),"Add client, agreement and retainer dates",IF(AND(D11="Outbound opportunity",ISNUMBER(H11),ISNUMBER(I11),ISNUMBER(M11),ISNUMBER(N11),M11&lt;=N11,M11&lt;I11,N11&gt;=H11,N11&lt;I11),"Dates fit; confirm new terms in writing","Review dates: outside entry window or out of order"))),"Use original written terms; no automatic extension"))</x:f>
      </x:c>
      <x:c r="Q11" s="30"/>
      <x:c r="R11" s="30"/>
    </x:row>
    <x:row r="12" ht="28" customHeight="1">
      <x:c r="A12" s="11"/>
      <x:c r="B12" s="11"/>
      <x:c r="C12" s="11"/>
      <x:c r="D12" s="11"/>
      <x:c r="E12" s="11"/>
      <x:c r="F12" s="13"/>
      <x:c r="G12" s="13"/>
      <x:c r="H12" s="13"/>
      <x:c r="I12" s="15" t="str">
        <x:f>IF(OR(D12="Direct referral",D12="Outbound opportunity"),IF(H12="","",EDATE(H12,12)),IF(D12="Business-partner referral",IF(F12="","",EDATE(F12,12)),""))</x:f>
      </x:c>
      <x:c r="J12" s="11"/>
      <x:c r="K12" s="11"/>
      <x:c r="L12" s="22"/>
      <x:c r="M12" s="13"/>
      <x:c r="N12" s="13"/>
      <x:c r="O12" s="15" t="str">
        <x:f>IF(L12="Separate outbound window",IF(AND(D12="Outbound opportunity",ISNUMBER(H12),ISNUMBER(I12),ISNUMBER(M12),ISNUMBER(N12),M12&lt;=N12,M12&lt;I12,N12&gt;=H12,N12&lt;I12),EDATE(N12,12),""),IF(AND(L12="Original client window",OR(D12="Direct referral",D12="Outbound opportunity")),I12,""))</x:f>
      </x:c>
      <x:c r="P12" s="24" t="str">
        <x:f>IF(L12="","",IF(L12="Separate outbound window",IF(D12&lt;&gt;"Outbound opportunity","Not an outbound opportunity",IF(OR(H12="",M12="",N12=""),"Add client, agreement and retainer dates",IF(AND(D12="Outbound opportunity",ISNUMBER(H12),ISNUMBER(I12),ISNUMBER(M12),ISNUMBER(N12),M12&lt;=N12,M12&lt;I12,N12&gt;=H12,N12&lt;I12),"Dates fit; confirm new terms in writing","Review dates: outside entry window or out of order"))),"Use original written terms; no automatic extension"))</x:f>
      </x:c>
      <x:c r="Q12" s="30"/>
      <x:c r="R12" s="30"/>
    </x:row>
    <x:row r="13" ht="28" customHeight="1">
      <x:c r="A13" s="11"/>
      <x:c r="B13" s="11"/>
      <x:c r="C13" s="11"/>
      <x:c r="D13" s="11"/>
      <x:c r="E13" s="11"/>
      <x:c r="F13" s="13"/>
      <x:c r="G13" s="13"/>
      <x:c r="H13" s="13"/>
      <x:c r="I13" s="15" t="str">
        <x:f>IF(OR(D13="Direct referral",D13="Outbound opportunity"),IF(H13="","",EDATE(H13,12)),IF(D13="Business-partner referral",IF(F13="","",EDATE(F13,12)),""))</x:f>
      </x:c>
      <x:c r="J13" s="11"/>
      <x:c r="K13" s="11"/>
      <x:c r="L13" s="22"/>
      <x:c r="M13" s="13"/>
      <x:c r="N13" s="13"/>
      <x:c r="O13" s="15" t="str">
        <x:f>IF(L13="Separate outbound window",IF(AND(D13="Outbound opportunity",ISNUMBER(H13),ISNUMBER(I13),ISNUMBER(M13),ISNUMBER(N13),M13&lt;=N13,M13&lt;I13,N13&gt;=H13,N13&lt;I13),EDATE(N13,12),""),IF(AND(L13="Original client window",OR(D13="Direct referral",D13="Outbound opportunity")),I13,""))</x:f>
      </x:c>
      <x:c r="P13" s="24" t="str">
        <x:f>IF(L13="","",IF(L13="Separate outbound window",IF(D13&lt;&gt;"Outbound opportunity","Not an outbound opportunity",IF(OR(H13="",M13="",N13=""),"Add client, agreement and retainer dates",IF(AND(D13="Outbound opportunity",ISNUMBER(H13),ISNUMBER(I13),ISNUMBER(M13),ISNUMBER(N13),M13&lt;=N13,M13&lt;I13,N13&gt;=H13,N13&lt;I13),"Dates fit; confirm new terms in writing","Review dates: outside entry window or out of order"))),"Use original written terms; no automatic extension"))</x:f>
      </x:c>
      <x:c r="Q13" s="30"/>
      <x:c r="R13" s="30"/>
    </x:row>
    <x:row r="14" ht="28" customHeight="1">
      <x:c r="A14" s="11"/>
      <x:c r="B14" s="11"/>
      <x:c r="C14" s="11"/>
      <x:c r="D14" s="11"/>
      <x:c r="E14" s="11"/>
      <x:c r="F14" s="13"/>
      <x:c r="G14" s="13"/>
      <x:c r="H14" s="13"/>
      <x:c r="I14" s="15" t="str">
        <x:f>IF(OR(D14="Direct referral",D14="Outbound opportunity"),IF(H14="","",EDATE(H14,12)),IF(D14="Business-partner referral",IF(F14="","",EDATE(F14,12)),""))</x:f>
      </x:c>
      <x:c r="J14" s="11"/>
      <x:c r="K14" s="11"/>
      <x:c r="L14" s="22"/>
      <x:c r="M14" s="13"/>
      <x:c r="N14" s="13"/>
      <x:c r="O14" s="15" t="str">
        <x:f>IF(L14="Separate outbound window",IF(AND(D14="Outbound opportunity",ISNUMBER(H14),ISNUMBER(I14),ISNUMBER(M14),ISNUMBER(N14),M14&lt;=N14,M14&lt;I14,N14&gt;=H14,N14&lt;I14),EDATE(N14,12),""),IF(AND(L14="Original client window",OR(D14="Direct referral",D14="Outbound opportunity")),I14,""))</x:f>
      </x:c>
      <x:c r="P14" s="24" t="str">
        <x:f>IF(L14="","",IF(L14="Separate outbound window",IF(D14&lt;&gt;"Outbound opportunity","Not an outbound opportunity",IF(OR(H14="",M14="",N14=""),"Add client, agreement and retainer dates",IF(AND(D14="Outbound opportunity",ISNUMBER(H14),ISNUMBER(I14),ISNUMBER(M14),ISNUMBER(N14),M14&lt;=N14,M14&lt;I14,N14&gt;=H14,N14&lt;I14),"Dates fit; confirm new terms in writing","Review dates: outside entry window or out of order"))),"Use original written terms; no automatic extension"))</x:f>
      </x:c>
      <x:c r="Q14" s="30"/>
      <x:c r="R14" s="30"/>
    </x:row>
    <x:row r="15" ht="28" customHeight="1">
      <x:c r="A15" s="11"/>
      <x:c r="B15" s="11"/>
      <x:c r="C15" s="11"/>
      <x:c r="D15" s="11"/>
      <x:c r="E15" s="11"/>
      <x:c r="F15" s="13"/>
      <x:c r="G15" s="13"/>
      <x:c r="H15" s="13"/>
      <x:c r="I15" s="15" t="str">
        <x:f>IF(OR(D15="Direct referral",D15="Outbound opportunity"),IF(H15="","",EDATE(H15,12)),IF(D15="Business-partner referral",IF(F15="","",EDATE(F15,12)),""))</x:f>
      </x:c>
      <x:c r="J15" s="11"/>
      <x:c r="K15" s="11"/>
      <x:c r="L15" s="22"/>
      <x:c r="M15" s="13"/>
      <x:c r="N15" s="13"/>
      <x:c r="O15" s="15" t="str">
        <x:f>IF(L15="Separate outbound window",IF(AND(D15="Outbound opportunity",ISNUMBER(H15),ISNUMBER(I15),ISNUMBER(M15),ISNUMBER(N15),M15&lt;=N15,M15&lt;I15,N15&gt;=H15,N15&lt;I15),EDATE(N15,12),""),IF(AND(L15="Original client window",OR(D15="Direct referral",D15="Outbound opportunity")),I15,""))</x:f>
      </x:c>
      <x:c r="P15" s="24" t="str">
        <x:f>IF(L15="","",IF(L15="Separate outbound window",IF(D15&lt;&gt;"Outbound opportunity","Not an outbound opportunity",IF(OR(H15="",M15="",N15=""),"Add client, agreement and retainer dates",IF(AND(D15="Outbound opportunity",ISNUMBER(H15),ISNUMBER(I15),ISNUMBER(M15),ISNUMBER(N15),M15&lt;=N15,M15&lt;I15,N15&gt;=H15,N15&lt;I15),"Dates fit; confirm new terms in writing","Review dates: outside entry window or out of order"))),"Use original written terms; no automatic extension"))</x:f>
      </x:c>
      <x:c r="Q15" s="30"/>
      <x:c r="R15" s="30"/>
    </x:row>
    <x:row r="16" ht="28" customHeight="1">
      <x:c r="A16" s="11"/>
      <x:c r="B16" s="11"/>
      <x:c r="C16" s="11"/>
      <x:c r="D16" s="11"/>
      <x:c r="E16" s="11"/>
      <x:c r="F16" s="13"/>
      <x:c r="G16" s="13"/>
      <x:c r="H16" s="13"/>
      <x:c r="I16" s="15" t="str">
        <x:f>IF(OR(D16="Direct referral",D16="Outbound opportunity"),IF(H16="","",EDATE(H16,12)),IF(D16="Business-partner referral",IF(F16="","",EDATE(F16,12)),""))</x:f>
      </x:c>
      <x:c r="J16" s="11"/>
      <x:c r="K16" s="11"/>
      <x:c r="L16" s="22"/>
      <x:c r="M16" s="13"/>
      <x:c r="N16" s="13"/>
      <x:c r="O16" s="15" t="str">
        <x:f>IF(L16="Separate outbound window",IF(AND(D16="Outbound opportunity",ISNUMBER(H16),ISNUMBER(I16),ISNUMBER(M16),ISNUMBER(N16),M16&lt;=N16,M16&lt;I16,N16&gt;=H16,N16&lt;I16),EDATE(N16,12),""),IF(AND(L16="Original client window",OR(D16="Direct referral",D16="Outbound opportunity")),I16,""))</x:f>
      </x:c>
      <x:c r="P16" s="24" t="str">
        <x:f>IF(L16="","",IF(L16="Separate outbound window",IF(D16&lt;&gt;"Outbound opportunity","Not an outbound opportunity",IF(OR(H16="",M16="",N16=""),"Add client, agreement and retainer dates",IF(AND(D16="Outbound opportunity",ISNUMBER(H16),ISNUMBER(I16),ISNUMBER(M16),ISNUMBER(N16),M16&lt;=N16,M16&lt;I16,N16&gt;=H16,N16&lt;I16),"Dates fit; confirm new terms in writing","Review dates: outside entry window or out of order"))),"Use original written terms; no automatic extension"))</x:f>
      </x:c>
      <x:c r="Q16" s="30"/>
      <x:c r="R16" s="30"/>
    </x:row>
    <x:row r="17" ht="28" customHeight="1">
      <x:c r="A17" s="11"/>
      <x:c r="B17" s="11"/>
      <x:c r="C17" s="11"/>
      <x:c r="D17" s="11"/>
      <x:c r="E17" s="11"/>
      <x:c r="F17" s="13"/>
      <x:c r="G17" s="13"/>
      <x:c r="H17" s="13"/>
      <x:c r="I17" s="15" t="str">
        <x:f>IF(OR(D17="Direct referral",D17="Outbound opportunity"),IF(H17="","",EDATE(H17,12)),IF(D17="Business-partner referral",IF(F17="","",EDATE(F17,12)),""))</x:f>
      </x:c>
      <x:c r="J17" s="11"/>
      <x:c r="K17" s="11"/>
      <x:c r="L17" s="22"/>
      <x:c r="M17" s="13"/>
      <x:c r="N17" s="13"/>
      <x:c r="O17" s="15" t="str">
        <x:f>IF(L17="Separate outbound window",IF(AND(D17="Outbound opportunity",ISNUMBER(H17),ISNUMBER(I17),ISNUMBER(M17),ISNUMBER(N17),M17&lt;=N17,M17&lt;I17,N17&gt;=H17,N17&lt;I17),EDATE(N17,12),""),IF(AND(L17="Original client window",OR(D17="Direct referral",D17="Outbound opportunity")),I17,""))</x:f>
      </x:c>
      <x:c r="P17" s="24" t="str">
        <x:f>IF(L17="","",IF(L17="Separate outbound window",IF(D17&lt;&gt;"Outbound opportunity","Not an outbound opportunity",IF(OR(H17="",M17="",N17=""),"Add client, agreement and retainer dates",IF(AND(D17="Outbound opportunity",ISNUMBER(H17),ISNUMBER(I17),ISNUMBER(M17),ISNUMBER(N17),M17&lt;=N17,M17&lt;I17,N17&gt;=H17,N17&lt;I17),"Dates fit; confirm new terms in writing","Review dates: outside entry window or out of order"))),"Use original written terms; no automatic extension"))</x:f>
      </x:c>
      <x:c r="Q17" s="30"/>
      <x:c r="R17" s="30"/>
    </x:row>
    <x:row r="18" ht="28" customHeight="1">
      <x:c r="A18" s="11"/>
      <x:c r="B18" s="11"/>
      <x:c r="C18" s="11"/>
      <x:c r="D18" s="11"/>
      <x:c r="E18" s="11"/>
      <x:c r="F18" s="13"/>
      <x:c r="G18" s="13"/>
      <x:c r="H18" s="13"/>
      <x:c r="I18" s="15" t="str">
        <x:f>IF(OR(D18="Direct referral",D18="Outbound opportunity"),IF(H18="","",EDATE(H18,12)),IF(D18="Business-partner referral",IF(F18="","",EDATE(F18,12)),""))</x:f>
      </x:c>
      <x:c r="J18" s="11"/>
      <x:c r="K18" s="11"/>
      <x:c r="L18" s="22"/>
      <x:c r="M18" s="13"/>
      <x:c r="N18" s="13"/>
      <x:c r="O18" s="15" t="str">
        <x:f>IF(L18="Separate outbound window",IF(AND(D18="Outbound opportunity",ISNUMBER(H18),ISNUMBER(I18),ISNUMBER(M18),ISNUMBER(N18),M18&lt;=N18,M18&lt;I18,N18&gt;=H18,N18&lt;I18),EDATE(N18,12),""),IF(AND(L18="Original client window",OR(D18="Direct referral",D18="Outbound opportunity")),I18,""))</x:f>
      </x:c>
      <x:c r="P18" s="24" t="str">
        <x:f>IF(L18="","",IF(L18="Separate outbound window",IF(D18&lt;&gt;"Outbound opportunity","Not an outbound opportunity",IF(OR(H18="",M18="",N18=""),"Add client, agreement and retainer dates",IF(AND(D18="Outbound opportunity",ISNUMBER(H18),ISNUMBER(I18),ISNUMBER(M18),ISNUMBER(N18),M18&lt;=N18,M18&lt;I18,N18&gt;=H18,N18&lt;I18),"Dates fit; confirm new terms in writing","Review dates: outside entry window or out of order"))),"Use original written terms; no automatic extension"))</x:f>
      </x:c>
      <x:c r="Q18" s="30"/>
      <x:c r="R18" s="30"/>
    </x:row>
    <x:row r="19" ht="28" customHeight="1">
      <x:c r="A19" s="11"/>
      <x:c r="B19" s="11"/>
      <x:c r="C19" s="11"/>
      <x:c r="D19" s="11"/>
      <x:c r="E19" s="11"/>
      <x:c r="F19" s="13"/>
      <x:c r="G19" s="13"/>
      <x:c r="H19" s="13"/>
      <x:c r="I19" s="15" t="str">
        <x:f>IF(OR(D19="Direct referral",D19="Outbound opportunity"),IF(H19="","",EDATE(H19,12)),IF(D19="Business-partner referral",IF(F19="","",EDATE(F19,12)),""))</x:f>
      </x:c>
      <x:c r="J19" s="11"/>
      <x:c r="K19" s="11"/>
      <x:c r="L19" s="22"/>
      <x:c r="M19" s="13"/>
      <x:c r="N19" s="13"/>
      <x:c r="O19" s="15" t="str">
        <x:f>IF(L19="Separate outbound window",IF(AND(D19="Outbound opportunity",ISNUMBER(H19),ISNUMBER(I19),ISNUMBER(M19),ISNUMBER(N19),M19&lt;=N19,M19&lt;I19,N19&gt;=H19,N19&lt;I19),EDATE(N19,12),""),IF(AND(L19="Original client window",OR(D19="Direct referral",D19="Outbound opportunity")),I19,""))</x:f>
      </x:c>
      <x:c r="P19" s="24" t="str">
        <x:f>IF(L19="","",IF(L19="Separate outbound window",IF(D19&lt;&gt;"Outbound opportunity","Not an outbound opportunity",IF(OR(H19="",M19="",N19=""),"Add client, agreement and retainer dates",IF(AND(D19="Outbound opportunity",ISNUMBER(H19),ISNUMBER(I19),ISNUMBER(M19),ISNUMBER(N19),M19&lt;=N19,M19&lt;I19,N19&gt;=H19,N19&lt;I19),"Dates fit; confirm new terms in writing","Review dates: outside entry window or out of order"))),"Use original written terms; no automatic extension"))</x:f>
      </x:c>
      <x:c r="Q19" s="30"/>
      <x:c r="R19" s="30"/>
    </x:row>
    <x:row r="20" ht="28" customHeight="1">
      <x:c r="A20" s="11"/>
      <x:c r="B20" s="11"/>
      <x:c r="C20" s="11"/>
      <x:c r="D20" s="11"/>
      <x:c r="E20" s="11"/>
      <x:c r="F20" s="13"/>
      <x:c r="G20" s="13"/>
      <x:c r="H20" s="13"/>
      <x:c r="I20" s="15" t="str">
        <x:f>IF(OR(D20="Direct referral",D20="Outbound opportunity"),IF(H20="","",EDATE(H20,12)),IF(D20="Business-partner referral",IF(F20="","",EDATE(F20,12)),""))</x:f>
      </x:c>
      <x:c r="J20" s="11"/>
      <x:c r="K20" s="11"/>
      <x:c r="L20" s="22"/>
      <x:c r="M20" s="13"/>
      <x:c r="N20" s="13"/>
      <x:c r="O20" s="15" t="str">
        <x:f>IF(L20="Separate outbound window",IF(AND(D20="Outbound opportunity",ISNUMBER(H20),ISNUMBER(I20),ISNUMBER(M20),ISNUMBER(N20),M20&lt;=N20,M20&lt;I20,N20&gt;=H20,N20&lt;I20),EDATE(N20,12),""),IF(AND(L20="Original client window",OR(D20="Direct referral",D20="Outbound opportunity")),I20,""))</x:f>
      </x:c>
      <x:c r="P20" s="24" t="str">
        <x:f>IF(L20="","",IF(L20="Separate outbound window",IF(D20&lt;&gt;"Outbound opportunity","Not an outbound opportunity",IF(OR(H20="",M20="",N20=""),"Add client, agreement and retainer dates",IF(AND(D20="Outbound opportunity",ISNUMBER(H20),ISNUMBER(I20),ISNUMBER(M20),ISNUMBER(N20),M20&lt;=N20,M20&lt;I20,N20&gt;=H20,N20&lt;I20),"Dates fit; confirm new terms in writing","Review dates: outside entry window or out of order"))),"Use original written terms; no automatic extension"))</x:f>
      </x:c>
      <x:c r="Q20" s="30"/>
      <x:c r="R20" s="30"/>
    </x:row>
    <x:row r="21" ht="28" customHeight="1">
      <x:c r="A21" s="11"/>
      <x:c r="B21" s="11"/>
      <x:c r="C21" s="11"/>
      <x:c r="D21" s="11"/>
      <x:c r="E21" s="11"/>
      <x:c r="F21" s="13"/>
      <x:c r="G21" s="13"/>
      <x:c r="H21" s="13"/>
      <x:c r="I21" s="15" t="str">
        <x:f>IF(OR(D21="Direct referral",D21="Outbound opportunity"),IF(H21="","",EDATE(H21,12)),IF(D21="Business-partner referral",IF(F21="","",EDATE(F21,12)),""))</x:f>
      </x:c>
      <x:c r="J21" s="11"/>
      <x:c r="K21" s="11"/>
      <x:c r="L21" s="22"/>
      <x:c r="M21" s="13"/>
      <x:c r="N21" s="13"/>
      <x:c r="O21" s="15" t="str">
        <x:f>IF(L21="Separate outbound window",IF(AND(D21="Outbound opportunity",ISNUMBER(H21),ISNUMBER(I21),ISNUMBER(M21),ISNUMBER(N21),M21&lt;=N21,M21&lt;I21,N21&gt;=H21,N21&lt;I21),EDATE(N21,12),""),IF(AND(L21="Original client window",OR(D21="Direct referral",D21="Outbound opportunity")),I21,""))</x:f>
      </x:c>
      <x:c r="P21" s="24" t="str">
        <x:f>IF(L21="","",IF(L21="Separate outbound window",IF(D21&lt;&gt;"Outbound opportunity","Not an outbound opportunity",IF(OR(H21="",M21="",N21=""),"Add client, agreement and retainer dates",IF(AND(D21="Outbound opportunity",ISNUMBER(H21),ISNUMBER(I21),ISNUMBER(M21),ISNUMBER(N21),M21&lt;=N21,M21&lt;I21,N21&gt;=H21,N21&lt;I21),"Dates fit; confirm new terms in writing","Review dates: outside entry window or out of order"))),"Use original written terms; no automatic extension"))</x:f>
      </x:c>
      <x:c r="Q21" s="30"/>
      <x:c r="R21" s="30"/>
    </x:row>
    <x:row r="22" ht="28" customHeight="1">
      <x:c r="A22" s="11"/>
      <x:c r="B22" s="11"/>
      <x:c r="C22" s="11"/>
      <x:c r="D22" s="11"/>
      <x:c r="E22" s="11"/>
      <x:c r="F22" s="13"/>
      <x:c r="G22" s="13"/>
      <x:c r="H22" s="13"/>
      <x:c r="I22" s="15" t="str">
        <x:f>IF(OR(D22="Direct referral",D22="Outbound opportunity"),IF(H22="","",EDATE(H22,12)),IF(D22="Business-partner referral",IF(F22="","",EDATE(F22,12)),""))</x:f>
      </x:c>
      <x:c r="J22" s="11"/>
      <x:c r="K22" s="11"/>
      <x:c r="L22" s="22"/>
      <x:c r="M22" s="13"/>
      <x:c r="N22" s="13"/>
      <x:c r="O22" s="15" t="str">
        <x:f>IF(L22="Separate outbound window",IF(AND(D22="Outbound opportunity",ISNUMBER(H22),ISNUMBER(I22),ISNUMBER(M22),ISNUMBER(N22),M22&lt;=N22,M22&lt;I22,N22&gt;=H22,N22&lt;I22),EDATE(N22,12),""),IF(AND(L22="Original client window",OR(D22="Direct referral",D22="Outbound opportunity")),I22,""))</x:f>
      </x:c>
      <x:c r="P22" s="24" t="str">
        <x:f>IF(L22="","",IF(L22="Separate outbound window",IF(D22&lt;&gt;"Outbound opportunity","Not an outbound opportunity",IF(OR(H22="",M22="",N22=""),"Add client, agreement and retainer dates",IF(AND(D22="Outbound opportunity",ISNUMBER(H22),ISNUMBER(I22),ISNUMBER(M22),ISNUMBER(N22),M22&lt;=N22,M22&lt;I22,N22&gt;=H22,N22&lt;I22),"Dates fit; confirm new terms in writing","Review dates: outside entry window or out of order"))),"Use original written terms; no automatic extension"))</x:f>
      </x:c>
      <x:c r="Q22" s="30"/>
      <x:c r="R22" s="30"/>
    </x:row>
    <x:row r="23" ht="28" customHeight="1">
      <x:c r="A23" s="11"/>
      <x:c r="B23" s="11"/>
      <x:c r="C23" s="11"/>
      <x:c r="D23" s="11"/>
      <x:c r="E23" s="11"/>
      <x:c r="F23" s="13"/>
      <x:c r="G23" s="13"/>
      <x:c r="H23" s="13"/>
      <x:c r="I23" s="15" t="str">
        <x:f>IF(OR(D23="Direct referral",D23="Outbound opportunity"),IF(H23="","",EDATE(H23,12)),IF(D23="Business-partner referral",IF(F23="","",EDATE(F23,12)),""))</x:f>
      </x:c>
      <x:c r="J23" s="11"/>
      <x:c r="K23" s="11"/>
      <x:c r="L23" s="22"/>
      <x:c r="M23" s="13"/>
      <x:c r="N23" s="13"/>
      <x:c r="O23" s="15" t="str">
        <x:f>IF(L23="Separate outbound window",IF(AND(D23="Outbound opportunity",ISNUMBER(H23),ISNUMBER(I23),ISNUMBER(M23),ISNUMBER(N23),M23&lt;=N23,M23&lt;I23,N23&gt;=H23,N23&lt;I23),EDATE(N23,12),""),IF(AND(L23="Original client window",OR(D23="Direct referral",D23="Outbound opportunity")),I23,""))</x:f>
      </x:c>
      <x:c r="P23" s="24" t="str">
        <x:f>IF(L23="","",IF(L23="Separate outbound window",IF(D23&lt;&gt;"Outbound opportunity","Not an outbound opportunity",IF(OR(H23="",M23="",N23=""),"Add client, agreement and retainer dates",IF(AND(D23="Outbound opportunity",ISNUMBER(H23),ISNUMBER(I23),ISNUMBER(M23),ISNUMBER(N23),M23&lt;=N23,M23&lt;I23,N23&gt;=H23,N23&lt;I23),"Dates fit; confirm new terms in writing","Review dates: outside entry window or out of order"))),"Use original written terms; no automatic extension"))</x:f>
      </x:c>
      <x:c r="Q23" s="30"/>
      <x:c r="R23" s="30"/>
    </x:row>
    <x:row r="24" ht="28" customHeight="1">
      <x:c r="A24" s="11"/>
      <x:c r="B24" s="11"/>
      <x:c r="C24" s="11"/>
      <x:c r="D24" s="11"/>
      <x:c r="E24" s="11"/>
      <x:c r="F24" s="13"/>
      <x:c r="G24" s="13"/>
      <x:c r="H24" s="13"/>
      <x:c r="I24" s="15" t="str">
        <x:f>IF(OR(D24="Direct referral",D24="Outbound opportunity"),IF(H24="","",EDATE(H24,12)),IF(D24="Business-partner referral",IF(F24="","",EDATE(F24,12)),""))</x:f>
      </x:c>
      <x:c r="J24" s="11"/>
      <x:c r="K24" s="11"/>
      <x:c r="L24" s="22"/>
      <x:c r="M24" s="13"/>
      <x:c r="N24" s="13"/>
      <x:c r="O24" s="15" t="str">
        <x:f>IF(L24="Separate outbound window",IF(AND(D24="Outbound opportunity",ISNUMBER(H24),ISNUMBER(I24),ISNUMBER(M24),ISNUMBER(N24),M24&lt;=N24,M24&lt;I24,N24&gt;=H24,N24&lt;I24),EDATE(N24,12),""),IF(AND(L24="Original client window",OR(D24="Direct referral",D24="Outbound opportunity")),I24,""))</x:f>
      </x:c>
      <x:c r="P24" s="24" t="str">
        <x:f>IF(L24="","",IF(L24="Separate outbound window",IF(D24&lt;&gt;"Outbound opportunity","Not an outbound opportunity",IF(OR(H24="",M24="",N24=""),"Add client, agreement and retainer dates",IF(AND(D24="Outbound opportunity",ISNUMBER(H24),ISNUMBER(I24),ISNUMBER(M24),ISNUMBER(N24),M24&lt;=N24,M24&lt;I24,N24&gt;=H24,N24&lt;I24),"Dates fit; confirm new terms in writing","Review dates: outside entry window or out of order"))),"Use original written terms; no automatic extension"))</x:f>
      </x:c>
      <x:c r="Q24" s="30"/>
      <x:c r="R24" s="30"/>
    </x:row>
    <x:row r="25" ht="28" customHeight="1">
      <x:c r="A25" s="11"/>
      <x:c r="B25" s="11"/>
      <x:c r="C25" s="11"/>
      <x:c r="D25" s="11"/>
      <x:c r="E25" s="11"/>
      <x:c r="F25" s="13"/>
      <x:c r="G25" s="13"/>
      <x:c r="H25" s="13"/>
      <x:c r="I25" s="15" t="str">
        <x:f>IF(OR(D25="Direct referral",D25="Outbound opportunity"),IF(H25="","",EDATE(H25,12)),IF(D25="Business-partner referral",IF(F25="","",EDATE(F25,12)),""))</x:f>
      </x:c>
      <x:c r="J25" s="11"/>
      <x:c r="K25" s="11"/>
      <x:c r="L25" s="22"/>
      <x:c r="M25" s="13"/>
      <x:c r="N25" s="13"/>
      <x:c r="O25" s="15" t="str">
        <x:f>IF(L25="Separate outbound window",IF(AND(D25="Outbound opportunity",ISNUMBER(H25),ISNUMBER(I25),ISNUMBER(M25),ISNUMBER(N25),M25&lt;=N25,M25&lt;I25,N25&gt;=H25,N25&lt;I25),EDATE(N25,12),""),IF(AND(L25="Original client window",OR(D25="Direct referral",D25="Outbound opportunity")),I25,""))</x:f>
      </x:c>
      <x:c r="P25" s="24" t="str">
        <x:f>IF(L25="","",IF(L25="Separate outbound window",IF(D25&lt;&gt;"Outbound opportunity","Not an outbound opportunity",IF(OR(H25="",M25="",N25=""),"Add client, agreement and retainer dates",IF(AND(D25="Outbound opportunity",ISNUMBER(H25),ISNUMBER(I25),ISNUMBER(M25),ISNUMBER(N25),M25&lt;=N25,M25&lt;I25,N25&gt;=H25,N25&lt;I25),"Dates fit; confirm new terms in writing","Review dates: outside entry window or out of order"))),"Use original written terms; no automatic extension"))</x:f>
      </x:c>
      <x:c r="Q25" s="30"/>
      <x:c r="R25" s="30"/>
    </x:row>
    <x:row r="26" ht="28" customHeight="1">
      <x:c r="A26" s="11"/>
      <x:c r="B26" s="11"/>
      <x:c r="C26" s="11"/>
      <x:c r="D26" s="11"/>
      <x:c r="E26" s="11"/>
      <x:c r="F26" s="13"/>
      <x:c r="G26" s="13"/>
      <x:c r="H26" s="13"/>
      <x:c r="I26" s="15" t="str">
        <x:f>IF(OR(D26="Direct referral",D26="Outbound opportunity"),IF(H26="","",EDATE(H26,12)),IF(D26="Business-partner referral",IF(F26="","",EDATE(F26,12)),""))</x:f>
      </x:c>
      <x:c r="J26" s="11"/>
      <x:c r="K26" s="11"/>
      <x:c r="L26" s="22"/>
      <x:c r="M26" s="13"/>
      <x:c r="N26" s="13"/>
      <x:c r="O26" s="15" t="str">
        <x:f>IF(L26="Separate outbound window",IF(AND(D26="Outbound opportunity",ISNUMBER(H26),ISNUMBER(I26),ISNUMBER(M26),ISNUMBER(N26),M26&lt;=N26,M26&lt;I26,N26&gt;=H26,N26&lt;I26),EDATE(N26,12),""),IF(AND(L26="Original client window",OR(D26="Direct referral",D26="Outbound opportunity")),I26,""))</x:f>
      </x:c>
      <x:c r="P26" s="24" t="str">
        <x:f>IF(L26="","",IF(L26="Separate outbound window",IF(D26&lt;&gt;"Outbound opportunity","Not an outbound opportunity",IF(OR(H26="",M26="",N26=""),"Add client, agreement and retainer dates",IF(AND(D26="Outbound opportunity",ISNUMBER(H26),ISNUMBER(I26),ISNUMBER(M26),ISNUMBER(N26),M26&lt;=N26,M26&lt;I26,N26&gt;=H26,N26&lt;I26),"Dates fit; confirm new terms in writing","Review dates: outside entry window or out of order"))),"Use original written terms; no automatic extension"))</x:f>
      </x:c>
      <x:c r="Q26" s="30"/>
      <x:c r="R26" s="30"/>
    </x:row>
    <x:row r="27" ht="28" customHeight="1">
      <x:c r="A27" s="11"/>
      <x:c r="B27" s="11"/>
      <x:c r="C27" s="11"/>
      <x:c r="D27" s="11"/>
      <x:c r="E27" s="11"/>
      <x:c r="F27" s="13"/>
      <x:c r="G27" s="13"/>
      <x:c r="H27" s="13"/>
      <x:c r="I27" s="15" t="str">
        <x:f>IF(OR(D27="Direct referral",D27="Outbound opportunity"),IF(H27="","",EDATE(H27,12)),IF(D27="Business-partner referral",IF(F27="","",EDATE(F27,12)),""))</x:f>
      </x:c>
      <x:c r="J27" s="11"/>
      <x:c r="K27" s="11"/>
      <x:c r="L27" s="22"/>
      <x:c r="M27" s="13"/>
      <x:c r="N27" s="13"/>
      <x:c r="O27" s="15" t="str">
        <x:f>IF(L27="Separate outbound window",IF(AND(D27="Outbound opportunity",ISNUMBER(H27),ISNUMBER(I27),ISNUMBER(M27),ISNUMBER(N27),M27&lt;=N27,M27&lt;I27,N27&gt;=H27,N27&lt;I27),EDATE(N27,12),""),IF(AND(L27="Original client window",OR(D27="Direct referral",D27="Outbound opportunity")),I27,""))</x:f>
      </x:c>
      <x:c r="P27" s="24" t="str">
        <x:f>IF(L27="","",IF(L27="Separate outbound window",IF(D27&lt;&gt;"Outbound opportunity","Not an outbound opportunity",IF(OR(H27="",M27="",N27=""),"Add client, agreement and retainer dates",IF(AND(D27="Outbound opportunity",ISNUMBER(H27),ISNUMBER(I27),ISNUMBER(M27),ISNUMBER(N27),M27&lt;=N27,M27&lt;I27,N27&gt;=H27,N27&lt;I27),"Dates fit; confirm new terms in writing","Review dates: outside entry window or out of order"))),"Use original written terms; no automatic extension"))</x:f>
      </x:c>
      <x:c r="Q27" s="30"/>
      <x:c r="R27" s="30"/>
    </x:row>
    <x:row r="28" ht="28" customHeight="1">
      <x:c r="A28" s="11"/>
      <x:c r="B28" s="11"/>
      <x:c r="C28" s="11"/>
      <x:c r="D28" s="11"/>
      <x:c r="E28" s="11"/>
      <x:c r="F28" s="13"/>
      <x:c r="G28" s="13"/>
      <x:c r="H28" s="13"/>
      <x:c r="I28" s="15" t="str">
        <x:f>IF(OR(D28="Direct referral",D28="Outbound opportunity"),IF(H28="","",EDATE(H28,12)),IF(D28="Business-partner referral",IF(F28="","",EDATE(F28,12)),""))</x:f>
      </x:c>
      <x:c r="J28" s="11"/>
      <x:c r="K28" s="11"/>
      <x:c r="L28" s="22"/>
      <x:c r="M28" s="13"/>
      <x:c r="N28" s="13"/>
      <x:c r="O28" s="15" t="str">
        <x:f>IF(L28="Separate outbound window",IF(AND(D28="Outbound opportunity",ISNUMBER(H28),ISNUMBER(I28),ISNUMBER(M28),ISNUMBER(N28),M28&lt;=N28,M28&lt;I28,N28&gt;=H28,N28&lt;I28),EDATE(N28,12),""),IF(AND(L28="Original client window",OR(D28="Direct referral",D28="Outbound opportunity")),I28,""))</x:f>
      </x:c>
      <x:c r="P28" s="24" t="str">
        <x:f>IF(L28="","",IF(L28="Separate outbound window",IF(D28&lt;&gt;"Outbound opportunity","Not an outbound opportunity",IF(OR(H28="",M28="",N28=""),"Add client, agreement and retainer dates",IF(AND(D28="Outbound opportunity",ISNUMBER(H28),ISNUMBER(I28),ISNUMBER(M28),ISNUMBER(N28),M28&lt;=N28,M28&lt;I28,N28&gt;=H28,N28&lt;I28),"Dates fit; confirm new terms in writing","Review dates: outside entry window or out of order"))),"Use original written terms; no automatic extension"))</x:f>
      </x:c>
      <x:c r="Q28" s="30"/>
      <x:c r="R28" s="30"/>
    </x:row>
    <x:row r="29" ht="28" customHeight="1">
      <x:c r="A29" s="11"/>
      <x:c r="B29" s="11"/>
      <x:c r="C29" s="11"/>
      <x:c r="D29" s="11"/>
      <x:c r="E29" s="11"/>
      <x:c r="F29" s="13"/>
      <x:c r="G29" s="13"/>
      <x:c r="H29" s="13"/>
      <x:c r="I29" s="15" t="str">
        <x:f>IF(OR(D29="Direct referral",D29="Outbound opportunity"),IF(H29="","",EDATE(H29,12)),IF(D29="Business-partner referral",IF(F29="","",EDATE(F29,12)),""))</x:f>
      </x:c>
      <x:c r="J29" s="11"/>
      <x:c r="K29" s="11"/>
      <x:c r="L29" s="22"/>
      <x:c r="M29" s="13"/>
      <x:c r="N29" s="13"/>
      <x:c r="O29" s="15" t="str">
        <x:f>IF(L29="Separate outbound window",IF(AND(D29="Outbound opportunity",ISNUMBER(H29),ISNUMBER(I29),ISNUMBER(M29),ISNUMBER(N29),M29&lt;=N29,M29&lt;I29,N29&gt;=H29,N29&lt;I29),EDATE(N29,12),""),IF(AND(L29="Original client window",OR(D29="Direct referral",D29="Outbound opportunity")),I29,""))</x:f>
      </x:c>
      <x:c r="P29" s="24" t="str">
        <x:f>IF(L29="","",IF(L29="Separate outbound window",IF(D29&lt;&gt;"Outbound opportunity","Not an outbound opportunity",IF(OR(H29="",M29="",N29=""),"Add client, agreement and retainer dates",IF(AND(D29="Outbound opportunity",ISNUMBER(H29),ISNUMBER(I29),ISNUMBER(M29),ISNUMBER(N29),M29&lt;=N29,M29&lt;I29,N29&gt;=H29,N29&lt;I29),"Dates fit; confirm new terms in writing","Review dates: outside entry window or out of order"))),"Use original written terms; no automatic extension"))</x:f>
      </x:c>
      <x:c r="Q29" s="30"/>
      <x:c r="R29" s="30"/>
    </x:row>
    <x:row r="30" ht="28" customHeight="1">
      <x:c r="A30" s="11"/>
      <x:c r="B30" s="11"/>
      <x:c r="C30" s="11"/>
      <x:c r="D30" s="11"/>
      <x:c r="E30" s="11"/>
      <x:c r="F30" s="13"/>
      <x:c r="G30" s="13"/>
      <x:c r="H30" s="13"/>
      <x:c r="I30" s="15" t="str">
        <x:f>IF(OR(D30="Direct referral",D30="Outbound opportunity"),IF(H30="","",EDATE(H30,12)),IF(D30="Business-partner referral",IF(F30="","",EDATE(F30,12)),""))</x:f>
      </x:c>
      <x:c r="J30" s="11"/>
      <x:c r="K30" s="11"/>
      <x:c r="L30" s="22"/>
      <x:c r="M30" s="13"/>
      <x:c r="N30" s="13"/>
      <x:c r="O30" s="15" t="str">
        <x:f>IF(L30="Separate outbound window",IF(AND(D30="Outbound opportunity",ISNUMBER(H30),ISNUMBER(I30),ISNUMBER(M30),ISNUMBER(N30),M30&lt;=N30,M30&lt;I30,N30&gt;=H30,N30&lt;I30),EDATE(N30,12),""),IF(AND(L30="Original client window",OR(D30="Direct referral",D30="Outbound opportunity")),I30,""))</x:f>
      </x:c>
      <x:c r="P30" s="24" t="str">
        <x:f>IF(L30="","",IF(L30="Separate outbound window",IF(D30&lt;&gt;"Outbound opportunity","Not an outbound opportunity",IF(OR(H30="",M30="",N30=""),"Add client, agreement and retainer dates",IF(AND(D30="Outbound opportunity",ISNUMBER(H30),ISNUMBER(I30),ISNUMBER(M30),ISNUMBER(N30),M30&lt;=N30,M30&lt;I30,N30&gt;=H30,N30&lt;I30),"Dates fit; confirm new terms in writing","Review dates: outside entry window or out of order"))),"Use original written terms; no automatic extension"))</x:f>
      </x:c>
      <x:c r="Q30" s="30"/>
      <x:c r="R30" s="30"/>
    </x:row>
    <x:row r="31" ht="28" customHeight="1">
      <x:c r="A31" s="11"/>
      <x:c r="B31" s="11"/>
      <x:c r="C31" s="11"/>
      <x:c r="D31" s="11"/>
      <x:c r="E31" s="11"/>
      <x:c r="F31" s="13"/>
      <x:c r="G31" s="13"/>
      <x:c r="H31" s="13"/>
      <x:c r="I31" s="15" t="str">
        <x:f>IF(OR(D31="Direct referral",D31="Outbound opportunity"),IF(H31="","",EDATE(H31,12)),IF(D31="Business-partner referral",IF(F31="","",EDATE(F31,12)),""))</x:f>
      </x:c>
      <x:c r="J31" s="11"/>
      <x:c r="K31" s="11"/>
      <x:c r="L31" s="22"/>
      <x:c r="M31" s="13"/>
      <x:c r="N31" s="13"/>
      <x:c r="O31" s="15" t="str">
        <x:f>IF(L31="Separate outbound window",IF(AND(D31="Outbound opportunity",ISNUMBER(H31),ISNUMBER(I31),ISNUMBER(M31),ISNUMBER(N31),M31&lt;=N31,M31&lt;I31,N31&gt;=H31,N31&lt;I31),EDATE(N31,12),""),IF(AND(L31="Original client window",OR(D31="Direct referral",D31="Outbound opportunity")),I31,""))</x:f>
      </x:c>
      <x:c r="P31" s="24" t="str">
        <x:f>IF(L31="","",IF(L31="Separate outbound window",IF(D31&lt;&gt;"Outbound opportunity","Not an outbound opportunity",IF(OR(H31="",M31="",N31=""),"Add client, agreement and retainer dates",IF(AND(D31="Outbound opportunity",ISNUMBER(H31),ISNUMBER(I31),ISNUMBER(M31),ISNUMBER(N31),M31&lt;=N31,M31&lt;I31,N31&gt;=H31,N31&lt;I31),"Dates fit; confirm new terms in writing","Review dates: outside entry window or out of order"))),"Use original written terms; no automatic extension"))</x:f>
      </x:c>
      <x:c r="Q31" s="30"/>
      <x:c r="R31" s="30"/>
    </x:row>
    <x:row r="32" ht="28" customHeight="1">
      <x:c r="A32" s="11"/>
      <x:c r="B32" s="11"/>
      <x:c r="C32" s="11"/>
      <x:c r="D32" s="11"/>
      <x:c r="E32" s="11"/>
      <x:c r="F32" s="13"/>
      <x:c r="G32" s="13"/>
      <x:c r="H32" s="13"/>
      <x:c r="I32" s="15" t="str">
        <x:f>IF(OR(D32="Direct referral",D32="Outbound opportunity"),IF(H32="","",EDATE(H32,12)),IF(D32="Business-partner referral",IF(F32="","",EDATE(F32,12)),""))</x:f>
      </x:c>
      <x:c r="J32" s="11"/>
      <x:c r="K32" s="11"/>
      <x:c r="L32" s="22"/>
      <x:c r="M32" s="13"/>
      <x:c r="N32" s="13"/>
      <x:c r="O32" s="15" t="str">
        <x:f>IF(L32="Separate outbound window",IF(AND(D32="Outbound opportunity",ISNUMBER(H32),ISNUMBER(I32),ISNUMBER(M32),ISNUMBER(N32),M32&lt;=N32,M32&lt;I32,N32&gt;=H32,N32&lt;I32),EDATE(N32,12),""),IF(AND(L32="Original client window",OR(D32="Direct referral",D32="Outbound opportunity")),I32,""))</x:f>
      </x:c>
      <x:c r="P32" s="24" t="str">
        <x:f>IF(L32="","",IF(L32="Separate outbound window",IF(D32&lt;&gt;"Outbound opportunity","Not an outbound opportunity",IF(OR(H32="",M32="",N32=""),"Add client, agreement and retainer dates",IF(AND(D32="Outbound opportunity",ISNUMBER(H32),ISNUMBER(I32),ISNUMBER(M32),ISNUMBER(N32),M32&lt;=N32,M32&lt;I32,N32&gt;=H32,N32&lt;I32),"Dates fit; confirm new terms in writing","Review dates: outside entry window or out of order"))),"Use original written terms; no automatic extension"))</x:f>
      </x:c>
      <x:c r="Q32" s="30"/>
      <x:c r="R32" s="30"/>
    </x:row>
    <x:row r="33" ht="28" customHeight="1">
      <x:c r="A33" s="11"/>
      <x:c r="B33" s="11"/>
      <x:c r="C33" s="11"/>
      <x:c r="D33" s="11"/>
      <x:c r="E33" s="11"/>
      <x:c r="F33" s="13"/>
      <x:c r="G33" s="13"/>
      <x:c r="H33" s="13"/>
      <x:c r="I33" s="15" t="str">
        <x:f>IF(OR(D33="Direct referral",D33="Outbound opportunity"),IF(H33="","",EDATE(H33,12)),IF(D33="Business-partner referral",IF(F33="","",EDATE(F33,12)),""))</x:f>
      </x:c>
      <x:c r="J33" s="11"/>
      <x:c r="K33" s="11"/>
      <x:c r="L33" s="22"/>
      <x:c r="M33" s="13"/>
      <x:c r="N33" s="13"/>
      <x:c r="O33" s="15" t="str">
        <x:f>IF(L33="Separate outbound window",IF(AND(D33="Outbound opportunity",ISNUMBER(H33),ISNUMBER(I33),ISNUMBER(M33),ISNUMBER(N33),M33&lt;=N33,M33&lt;I33,N33&gt;=H33,N33&lt;I33),EDATE(N33,12),""),IF(AND(L33="Original client window",OR(D33="Direct referral",D33="Outbound opportunity")),I33,""))</x:f>
      </x:c>
      <x:c r="P33" s="24" t="str">
        <x:f>IF(L33="","",IF(L33="Separate outbound window",IF(D33&lt;&gt;"Outbound opportunity","Not an outbound opportunity",IF(OR(H33="",M33="",N33=""),"Add client, agreement and retainer dates",IF(AND(D33="Outbound opportunity",ISNUMBER(H33),ISNUMBER(I33),ISNUMBER(M33),ISNUMBER(N33),M33&lt;=N33,M33&lt;I33,N33&gt;=H33,N33&lt;I33),"Dates fit; confirm new terms in writing","Review dates: outside entry window or out of order"))),"Use original written terms; no automatic extension"))</x:f>
      </x:c>
      <x:c r="Q33" s="30"/>
      <x:c r="R33" s="30"/>
    </x:row>
    <x:row r="34" ht="28" customHeight="1">
      <x:c r="A34" s="11"/>
      <x:c r="B34" s="11"/>
      <x:c r="C34" s="11"/>
      <x:c r="D34" s="11"/>
      <x:c r="E34" s="11"/>
      <x:c r="F34" s="13"/>
      <x:c r="G34" s="13"/>
      <x:c r="H34" s="13"/>
      <x:c r="I34" s="15" t="str">
        <x:f>IF(OR(D34="Direct referral",D34="Outbound opportunity"),IF(H34="","",EDATE(H34,12)),IF(D34="Business-partner referral",IF(F34="","",EDATE(F34,12)),""))</x:f>
      </x:c>
      <x:c r="J34" s="11"/>
      <x:c r="K34" s="11"/>
      <x:c r="L34" s="22"/>
      <x:c r="M34" s="13"/>
      <x:c r="N34" s="13"/>
      <x:c r="O34" s="15" t="str">
        <x:f>IF(L34="Separate outbound window",IF(AND(D34="Outbound opportunity",ISNUMBER(H34),ISNUMBER(I34),ISNUMBER(M34),ISNUMBER(N34),M34&lt;=N34,M34&lt;I34,N34&gt;=H34,N34&lt;I34),EDATE(N34,12),""),IF(AND(L34="Original client window",OR(D34="Direct referral",D34="Outbound opportunity")),I34,""))</x:f>
      </x:c>
      <x:c r="P34" s="24" t="str">
        <x:f>IF(L34="","",IF(L34="Separate outbound window",IF(D34&lt;&gt;"Outbound opportunity","Not an outbound opportunity",IF(OR(H34="",M34="",N34=""),"Add client, agreement and retainer dates",IF(AND(D34="Outbound opportunity",ISNUMBER(H34),ISNUMBER(I34),ISNUMBER(M34),ISNUMBER(N34),M34&lt;=N34,M34&lt;I34,N34&gt;=H34,N34&lt;I34),"Dates fit; confirm new terms in writing","Review dates: outside entry window or out of order"))),"Use original written terms; no automatic extension"))</x:f>
      </x:c>
      <x:c r="Q34" s="30"/>
      <x:c r="R34" s="30"/>
    </x:row>
    <x:row r="35" ht="28" customHeight="1">
      <x:c r="A35" s="12"/>
      <x:c r="B35" s="12"/>
      <x:c r="C35" s="12"/>
      <x:c r="D35" s="12"/>
      <x:c r="E35" s="12"/>
      <x:c r="F35" s="14"/>
      <x:c r="G35" s="14"/>
      <x:c r="H35" s="14"/>
      <x:c r="I35" s="15" t="str">
        <x:f>IF(OR(D35="Direct referral",D35="Outbound opportunity"),IF(H35="","",EDATE(H35,12)),IF(D35="Business-partner referral",IF(F35="","",EDATE(F35,12)),""))</x:f>
      </x:c>
      <x:c r="J35" s="12"/>
      <x:c r="K35" s="12"/>
      <x:c r="L35" s="23"/>
      <x:c r="M35" s="14"/>
      <x:c r="N35" s="14"/>
      <x:c r="O35" s="15" t="str">
        <x:f>IF(L35="Separate outbound window",IF(AND(D35="Outbound opportunity",ISNUMBER(H35),ISNUMBER(I35),ISNUMBER(M35),ISNUMBER(N35),M35&lt;=N35,M35&lt;I35,N35&gt;=H35,N35&lt;I35),EDATE(N35,12),""),IF(AND(L35="Original client window",OR(D35="Direct referral",D35="Outbound opportunity")),I35,""))</x:f>
      </x:c>
      <x:c r="P35" s="24" t="str">
        <x:f>IF(L35="","",IF(L35="Separate outbound window",IF(D35&lt;&gt;"Outbound opportunity","Not an outbound opportunity",IF(OR(H35="",M35="",N35=""),"Add client, agreement and retainer dates",IF(AND(D35="Outbound opportunity",ISNUMBER(H35),ISNUMBER(I35),ISNUMBER(M35),ISNUMBER(N35),M35&lt;=N35,M35&lt;I35,N35&gt;=H35,N35&lt;I35),"Dates fit; confirm new terms in writing","Review dates: outside entry window or out of order"))),"Use original written terms; no automatic extension"))</x:f>
      </x:c>
      <x:c r="Q35" s="34"/>
      <x:c r="R35" s="34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>
      <x:c r="A38" s="2" t="str">
        <x:v>Direct repeat window starts at first cleared payment. Business-partner window starts at introduction. Legacy terms use the accepted agreement.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>
      <x:c r="A39" s="4" t="str">
        <x:v>Source: /sales program terms. Separate outbound-retainer windows apply only to new opportunities accepted in writing under those terms. Preserve legacy rights.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>
      <x:c r="A40" s="4" t="str">
        <x:v>L: record the accepted window basis. M/N: real Excel dates. O: exclusive anniversary. P checks dates only; it does not accept attribution or approve payment.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>
      <x:c r="A41" s="26" t="str">
        <x:v>New first outbound retainer: agreed before I, first monthly receipt on/after H and before I. Its own window ends 12 months after N; maximum 12 paid months, no renewal reset. Joint deals: Q identifies the bonus recipient agreed before booking; R links written attribution/participation approval. Commission shares remain in the written reconciliation.</x:v>
      </x:c>
    </x:row>
  </x:sheetData>
  <x:dataValidations count="5">
    <x:dataValidation type="list" sqref="D6:D35">
      <x:formula1>"Direct referral,Outbound opportunity,Business-partner referral,Legacy agreed terms"</x:formula1>
    </x:dataValidation>
    <x:dataValidation type="list" sqref="E6:E35">
      <x:formula1>"Submitted,Reviewing,Accepted,Declined,Proposal,Won,Closed"</x:formula1>
    </x:dataValidation>
    <x:dataValidation type="none" sqref="M6:P35"/>
    <x:dataValidation type="list" sqref="L6:L35">
      <x:formula1>"Separate outbound window,Original client window,Legacy written agreement"</x:formula1>
    </x:dataValidation>
    <x:dataValidation type="none" sqref="Q6:R35"/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B963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30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36" hidden="0" customWidth="1"/>
    <x:col min="15" max="15" width="36" hidden="0" customWidth="1"/>
    <x:col min="16" max="16" width="21" hidden="0" customWidth="1"/>
    <x:col min="17" max="17" width="2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3" t="str">
        <x:v>Payments and commissions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4" t="str">
        <x:v>One row per cleared receipt or adjustment. Confirm the eligible basis and rate before recording a payout.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2" customHeight="1">
      <x:c r="A5" s="8" t="str">
        <x:v>Payment ID</x:v>
      </x:c>
      <x:c r="B5" s="8" t="str">
        <x:v>Referral ID</x:v>
      </x:c>
      <x:c r="C5" s="8" t="str">
        <x:v>SOW / invoice ID</x:v>
      </x:c>
      <x:c r="D5" s="8" t="str">
        <x:v>Payment class</x:v>
      </x:c>
      <x:c r="E5" s="8" t="str">
        <x:v>Cleared date</x:v>
      </x:c>
      <x:c r="F5" s="8" t="str">
        <x:v>Eligible revenue (USD)</x:v>
      </x:c>
      <x:c r="G5" s="8" t="str">
        <x:v>Agreed rate</x:v>
      </x:c>
      <x:c r="H5" s="8" t="str">
        <x:v>Commission (USD)</x:v>
      </x:c>
      <x:c r="I5" s="8" t="str">
        <x:v>Adjustment (USD)</x:v>
      </x:c>
      <x:c r="J5" s="8" t="str">
        <x:v>Net due (USD)</x:v>
      </x:c>
      <x:c r="K5" s="8" t="str">
        <x:v>Paid commission (USD)</x:v>
      </x:c>
      <x:c r="L5" s="8" t="str">
        <x:v>Outstanding (USD)</x:v>
      </x:c>
      <x:c r="M5" s="8" t="str">
        <x:v>Payout date</x:v>
      </x:c>
      <x:c r="N5" s="8" t="str">
        <x:v>Receipt / statement link</x:v>
      </x:c>
      <x:c r="O5" s="8" t="str">
        <x:v>Eligibility / window note</x:v>
      </x:c>
      <x:c r="P5" s="8" t="str">
        <x:v>Legacy meeting credit requested USD</x:v>
      </x:c>
      <x:c r="Q5" s="8" t="str">
        <x:v>Legacy credit applied USD</x:v>
      </x:c>
    </x:row>
    <x:row r="6" ht="28" customHeight="1">
      <x:c r="A6" s="11"/>
      <x:c r="B6" s="11"/>
      <x:c r="C6" s="11"/>
      <x:c r="D6" s="11"/>
      <x:c r="E6" s="13"/>
      <x:c r="F6" s="17"/>
      <x:c r="G6" s="19"/>
      <x:c r="H6" s="16" t="str">
        <x:f>IF(OR(F6="",G6=""),"",ROUND(F6*G6,2))</x:f>
      </x:c>
      <x:c r="I6" s="17"/>
      <x:c r="J6" s="16" t="str">
        <x:f>IF(AND(H6="",I6=""),"",SUM(H6,I6)-Q6)</x:f>
      </x:c>
      <x:c r="K6" s="17"/>
      <x:c r="L6" s="17" t="str">
        <x:f>IF(J6="","",J6-K6)</x:f>
      </x:c>
      <x:c r="M6" s="13"/>
      <x:c r="N6" s="11"/>
      <x:c r="O6" s="11"/>
      <x:c r="P6" s="17"/>
      <x:c r="Q6" s="16" t="str">
        <x:f>IF(AND(H6="",I6=""),"",MIN(MAX(P6,0),MAX(SUM(H6,I6),0)))</x:f>
      </x:c>
    </x:row>
    <x:row r="7" ht="28" customHeight="1">
      <x:c r="A7" s="11"/>
      <x:c r="B7" s="11"/>
      <x:c r="C7" s="11"/>
      <x:c r="D7" s="11"/>
      <x:c r="E7" s="13"/>
      <x:c r="F7" s="17"/>
      <x:c r="G7" s="19"/>
      <x:c r="H7" s="16" t="str">
        <x:f>IF(OR(F7="",G7=""),"",ROUND(F7*G7,2))</x:f>
      </x:c>
      <x:c r="I7" s="17"/>
      <x:c r="J7" s="16" t="str">
        <x:f>IF(AND(H7="",I7=""),"",SUM(H7,I7)-Q7)</x:f>
      </x:c>
      <x:c r="K7" s="17"/>
      <x:c r="L7" s="17" t="str">
        <x:f>IF(J7="","",J7-K7)</x:f>
      </x:c>
      <x:c r="M7" s="13"/>
      <x:c r="N7" s="11"/>
      <x:c r="O7" s="11"/>
      <x:c r="P7" s="17"/>
      <x:c r="Q7" s="16" t="str">
        <x:f>IF(AND(H7="",I7=""),"",MIN(MAX(P7,0),MAX(SUM(H7,I7),0)))</x:f>
      </x:c>
    </x:row>
    <x:row r="8" ht="28" customHeight="1">
      <x:c r="A8" s="11"/>
      <x:c r="B8" s="11"/>
      <x:c r="C8" s="11"/>
      <x:c r="D8" s="11"/>
      <x:c r="E8" s="13"/>
      <x:c r="F8" s="17"/>
      <x:c r="G8" s="19"/>
      <x:c r="H8" s="16" t="str">
        <x:f>IF(OR(F8="",G8=""),"",ROUND(F8*G8,2))</x:f>
      </x:c>
      <x:c r="I8" s="17"/>
      <x:c r="J8" s="16" t="str">
        <x:f>IF(AND(H8="",I8=""),"",SUM(H8,I8)-Q8)</x:f>
      </x:c>
      <x:c r="K8" s="17"/>
      <x:c r="L8" s="17" t="str">
        <x:f>IF(J8="","",J8-K8)</x:f>
      </x:c>
      <x:c r="M8" s="13"/>
      <x:c r="N8" s="11"/>
      <x:c r="O8" s="11"/>
      <x:c r="P8" s="17"/>
      <x:c r="Q8" s="16" t="str">
        <x:f>IF(AND(H8="",I8=""),"",MIN(MAX(P8,0),MAX(SUM(H8,I8),0)))</x:f>
      </x:c>
    </x:row>
    <x:row r="9" ht="28" customHeight="1">
      <x:c r="A9" s="11"/>
      <x:c r="B9" s="11"/>
      <x:c r="C9" s="11"/>
      <x:c r="D9" s="11"/>
      <x:c r="E9" s="13"/>
      <x:c r="F9" s="17"/>
      <x:c r="G9" s="19"/>
      <x:c r="H9" s="16" t="str">
        <x:f>IF(OR(F9="",G9=""),"",ROUND(F9*G9,2))</x:f>
      </x:c>
      <x:c r="I9" s="17"/>
      <x:c r="J9" s="16" t="str">
        <x:f>IF(AND(H9="",I9=""),"",SUM(H9,I9)-Q9)</x:f>
      </x:c>
      <x:c r="K9" s="17"/>
      <x:c r="L9" s="17" t="str">
        <x:f>IF(J9="","",J9-K9)</x:f>
      </x:c>
      <x:c r="M9" s="13"/>
      <x:c r="N9" s="11"/>
      <x:c r="O9" s="11"/>
      <x:c r="P9" s="17"/>
      <x:c r="Q9" s="16" t="str">
        <x:f>IF(AND(H9="",I9=""),"",MIN(MAX(P9,0),MAX(SUM(H9,I9),0)))</x:f>
      </x:c>
    </x:row>
    <x:row r="10" ht="28" customHeight="1">
      <x:c r="A10" s="11"/>
      <x:c r="B10" s="11"/>
      <x:c r="C10" s="11"/>
      <x:c r="D10" s="11"/>
      <x:c r="E10" s="13"/>
      <x:c r="F10" s="17"/>
      <x:c r="G10" s="19"/>
      <x:c r="H10" s="16" t="str">
        <x:f>IF(OR(F10="",G10=""),"",ROUND(F10*G10,2))</x:f>
      </x:c>
      <x:c r="I10" s="17"/>
      <x:c r="J10" s="16" t="str">
        <x:f>IF(AND(H10="",I10=""),"",SUM(H10,I10)-Q10)</x:f>
      </x:c>
      <x:c r="K10" s="17"/>
      <x:c r="L10" s="17" t="str">
        <x:f>IF(J10="","",J10-K10)</x:f>
      </x:c>
      <x:c r="M10" s="13"/>
      <x:c r="N10" s="11"/>
      <x:c r="O10" s="11"/>
      <x:c r="P10" s="17"/>
      <x:c r="Q10" s="16" t="str">
        <x:f>IF(AND(H10="",I10=""),"",MIN(MAX(P10,0),MAX(SUM(H10,I10),0)))</x:f>
      </x:c>
    </x:row>
    <x:row r="11" ht="28" customHeight="1">
      <x:c r="A11" s="11"/>
      <x:c r="B11" s="11"/>
      <x:c r="C11" s="11"/>
      <x:c r="D11" s="11"/>
      <x:c r="E11" s="13"/>
      <x:c r="F11" s="17"/>
      <x:c r="G11" s="19"/>
      <x:c r="H11" s="16" t="str">
        <x:f>IF(OR(F11="",G11=""),"",ROUND(F11*G11,2))</x:f>
      </x:c>
      <x:c r="I11" s="17"/>
      <x:c r="J11" s="16" t="str">
        <x:f>IF(AND(H11="",I11=""),"",SUM(H11,I11)-Q11)</x:f>
      </x:c>
      <x:c r="K11" s="17"/>
      <x:c r="L11" s="17" t="str">
        <x:f>IF(J11="","",J11-K11)</x:f>
      </x:c>
      <x:c r="M11" s="13"/>
      <x:c r="N11" s="11"/>
      <x:c r="O11" s="11"/>
      <x:c r="P11" s="17"/>
      <x:c r="Q11" s="16" t="str">
        <x:f>IF(AND(H11="",I11=""),"",MIN(MAX(P11,0),MAX(SUM(H11,I11),0)))</x:f>
      </x:c>
    </x:row>
    <x:row r="12" ht="28" customHeight="1">
      <x:c r="A12" s="11"/>
      <x:c r="B12" s="11"/>
      <x:c r="C12" s="11"/>
      <x:c r="D12" s="11"/>
      <x:c r="E12" s="13"/>
      <x:c r="F12" s="17"/>
      <x:c r="G12" s="19"/>
      <x:c r="H12" s="16" t="str">
        <x:f>IF(OR(F12="",G12=""),"",ROUND(F12*G12,2))</x:f>
      </x:c>
      <x:c r="I12" s="17"/>
      <x:c r="J12" s="16" t="str">
        <x:f>IF(AND(H12="",I12=""),"",SUM(H12,I12)-Q12)</x:f>
      </x:c>
      <x:c r="K12" s="17"/>
      <x:c r="L12" s="17" t="str">
        <x:f>IF(J12="","",J12-K12)</x:f>
      </x:c>
      <x:c r="M12" s="13"/>
      <x:c r="N12" s="11"/>
      <x:c r="O12" s="11"/>
      <x:c r="P12" s="17"/>
      <x:c r="Q12" s="16" t="str">
        <x:f>IF(AND(H12="",I12=""),"",MIN(MAX(P12,0),MAX(SUM(H12,I12),0)))</x:f>
      </x:c>
    </x:row>
    <x:row r="13" ht="28" customHeight="1">
      <x:c r="A13" s="11"/>
      <x:c r="B13" s="11"/>
      <x:c r="C13" s="11"/>
      <x:c r="D13" s="11"/>
      <x:c r="E13" s="13"/>
      <x:c r="F13" s="17"/>
      <x:c r="G13" s="19"/>
      <x:c r="H13" s="16" t="str">
        <x:f>IF(OR(F13="",G13=""),"",ROUND(F13*G13,2))</x:f>
      </x:c>
      <x:c r="I13" s="17"/>
      <x:c r="J13" s="16" t="str">
        <x:f>IF(AND(H13="",I13=""),"",SUM(H13,I13)-Q13)</x:f>
      </x:c>
      <x:c r="K13" s="17"/>
      <x:c r="L13" s="17" t="str">
        <x:f>IF(J13="","",J13-K13)</x:f>
      </x:c>
      <x:c r="M13" s="13"/>
      <x:c r="N13" s="11"/>
      <x:c r="O13" s="11"/>
      <x:c r="P13" s="17"/>
      <x:c r="Q13" s="16" t="str">
        <x:f>IF(AND(H13="",I13=""),"",MIN(MAX(P13,0),MAX(SUM(H13,I13),0)))</x:f>
      </x:c>
    </x:row>
    <x:row r="14" ht="28" customHeight="1">
      <x:c r="A14" s="11"/>
      <x:c r="B14" s="11"/>
      <x:c r="C14" s="11"/>
      <x:c r="D14" s="11"/>
      <x:c r="E14" s="13"/>
      <x:c r="F14" s="17"/>
      <x:c r="G14" s="19"/>
      <x:c r="H14" s="16" t="str">
        <x:f>IF(OR(F14="",G14=""),"",ROUND(F14*G14,2))</x:f>
      </x:c>
      <x:c r="I14" s="17"/>
      <x:c r="J14" s="16" t="str">
        <x:f>IF(AND(H14="",I14=""),"",SUM(H14,I14)-Q14)</x:f>
      </x:c>
      <x:c r="K14" s="17"/>
      <x:c r="L14" s="17" t="str">
        <x:f>IF(J14="","",J14-K14)</x:f>
      </x:c>
      <x:c r="M14" s="13"/>
      <x:c r="N14" s="11"/>
      <x:c r="O14" s="11"/>
      <x:c r="P14" s="17"/>
      <x:c r="Q14" s="16" t="str">
        <x:f>IF(AND(H14="",I14=""),"",MIN(MAX(P14,0),MAX(SUM(H14,I14),0)))</x:f>
      </x:c>
    </x:row>
    <x:row r="15" ht="28" customHeight="1">
      <x:c r="A15" s="11"/>
      <x:c r="B15" s="11"/>
      <x:c r="C15" s="11"/>
      <x:c r="D15" s="11"/>
      <x:c r="E15" s="13"/>
      <x:c r="F15" s="17"/>
      <x:c r="G15" s="19"/>
      <x:c r="H15" s="16" t="str">
        <x:f>IF(OR(F15="",G15=""),"",ROUND(F15*G15,2))</x:f>
      </x:c>
      <x:c r="I15" s="17"/>
      <x:c r="J15" s="16" t="str">
        <x:f>IF(AND(H15="",I15=""),"",SUM(H15,I15)-Q15)</x:f>
      </x:c>
      <x:c r="K15" s="17"/>
      <x:c r="L15" s="17" t="str">
        <x:f>IF(J15="","",J15-K15)</x:f>
      </x:c>
      <x:c r="M15" s="13"/>
      <x:c r="N15" s="11"/>
      <x:c r="O15" s="11"/>
      <x:c r="P15" s="17"/>
      <x:c r="Q15" s="16" t="str">
        <x:f>IF(AND(H15="",I15=""),"",MIN(MAX(P15,0),MAX(SUM(H15,I15),0)))</x:f>
      </x:c>
    </x:row>
    <x:row r="16" ht="28" customHeight="1">
      <x:c r="A16" s="11"/>
      <x:c r="B16" s="11"/>
      <x:c r="C16" s="11"/>
      <x:c r="D16" s="11"/>
      <x:c r="E16" s="13"/>
      <x:c r="F16" s="17"/>
      <x:c r="G16" s="19"/>
      <x:c r="H16" s="16" t="str">
        <x:f>IF(OR(F16="",G16=""),"",ROUND(F16*G16,2))</x:f>
      </x:c>
      <x:c r="I16" s="17"/>
      <x:c r="J16" s="16" t="str">
        <x:f>IF(AND(H16="",I16=""),"",SUM(H16,I16)-Q16)</x:f>
      </x:c>
      <x:c r="K16" s="17"/>
      <x:c r="L16" s="17" t="str">
        <x:f>IF(J16="","",J16-K16)</x:f>
      </x:c>
      <x:c r="M16" s="13"/>
      <x:c r="N16" s="11"/>
      <x:c r="O16" s="11"/>
      <x:c r="P16" s="17"/>
      <x:c r="Q16" s="16" t="str">
        <x:f>IF(AND(H16="",I16=""),"",MIN(MAX(P16,0),MAX(SUM(H16,I16),0)))</x:f>
      </x:c>
    </x:row>
    <x:row r="17" ht="28" customHeight="1">
      <x:c r="A17" s="11"/>
      <x:c r="B17" s="11"/>
      <x:c r="C17" s="11"/>
      <x:c r="D17" s="11"/>
      <x:c r="E17" s="13"/>
      <x:c r="F17" s="17"/>
      <x:c r="G17" s="19"/>
      <x:c r="H17" s="16" t="str">
        <x:f>IF(OR(F17="",G17=""),"",ROUND(F17*G17,2))</x:f>
      </x:c>
      <x:c r="I17" s="17"/>
      <x:c r="J17" s="16" t="str">
        <x:f>IF(AND(H17="",I17=""),"",SUM(H17,I17)-Q17)</x:f>
      </x:c>
      <x:c r="K17" s="17"/>
      <x:c r="L17" s="17" t="str">
        <x:f>IF(J17="","",J17-K17)</x:f>
      </x:c>
      <x:c r="M17" s="13"/>
      <x:c r="N17" s="11"/>
      <x:c r="O17" s="11"/>
      <x:c r="P17" s="17"/>
      <x:c r="Q17" s="16" t="str">
        <x:f>IF(AND(H17="",I17=""),"",MIN(MAX(P17,0),MAX(SUM(H17,I17),0)))</x:f>
      </x:c>
    </x:row>
    <x:row r="18" ht="28" customHeight="1">
      <x:c r="A18" s="11"/>
      <x:c r="B18" s="11"/>
      <x:c r="C18" s="11"/>
      <x:c r="D18" s="11"/>
      <x:c r="E18" s="13"/>
      <x:c r="F18" s="17"/>
      <x:c r="G18" s="19"/>
      <x:c r="H18" s="16" t="str">
        <x:f>IF(OR(F18="",G18=""),"",ROUND(F18*G18,2))</x:f>
      </x:c>
      <x:c r="I18" s="17"/>
      <x:c r="J18" s="16" t="str">
        <x:f>IF(AND(H18="",I18=""),"",SUM(H18,I18)-Q18)</x:f>
      </x:c>
      <x:c r="K18" s="17"/>
      <x:c r="L18" s="17" t="str">
        <x:f>IF(J18="","",J18-K18)</x:f>
      </x:c>
      <x:c r="M18" s="13"/>
      <x:c r="N18" s="11"/>
      <x:c r="O18" s="11"/>
      <x:c r="P18" s="17"/>
      <x:c r="Q18" s="16" t="str">
        <x:f>IF(AND(H18="",I18=""),"",MIN(MAX(P18,0),MAX(SUM(H18,I18),0)))</x:f>
      </x:c>
    </x:row>
    <x:row r="19" ht="28" customHeight="1">
      <x:c r="A19" s="11"/>
      <x:c r="B19" s="11"/>
      <x:c r="C19" s="11"/>
      <x:c r="D19" s="11"/>
      <x:c r="E19" s="13"/>
      <x:c r="F19" s="17"/>
      <x:c r="G19" s="19"/>
      <x:c r="H19" s="16" t="str">
        <x:f>IF(OR(F19="",G19=""),"",ROUND(F19*G19,2))</x:f>
      </x:c>
      <x:c r="I19" s="17"/>
      <x:c r="J19" s="16" t="str">
        <x:f>IF(AND(H19="",I19=""),"",SUM(H19,I19)-Q19)</x:f>
      </x:c>
      <x:c r="K19" s="17"/>
      <x:c r="L19" s="17" t="str">
        <x:f>IF(J19="","",J19-K19)</x:f>
      </x:c>
      <x:c r="M19" s="13"/>
      <x:c r="N19" s="11"/>
      <x:c r="O19" s="11"/>
      <x:c r="P19" s="17"/>
      <x:c r="Q19" s="16" t="str">
        <x:f>IF(AND(H19="",I19=""),"",MIN(MAX(P19,0),MAX(SUM(H19,I19),0)))</x:f>
      </x:c>
    </x:row>
    <x:row r="20" ht="28" customHeight="1">
      <x:c r="A20" s="11"/>
      <x:c r="B20" s="11"/>
      <x:c r="C20" s="11"/>
      <x:c r="D20" s="11"/>
      <x:c r="E20" s="13"/>
      <x:c r="F20" s="17"/>
      <x:c r="G20" s="19"/>
      <x:c r="H20" s="16" t="str">
        <x:f>IF(OR(F20="",G20=""),"",ROUND(F20*G20,2))</x:f>
      </x:c>
      <x:c r="I20" s="17"/>
      <x:c r="J20" s="16" t="str">
        <x:f>IF(AND(H20="",I20=""),"",SUM(H20,I20)-Q20)</x:f>
      </x:c>
      <x:c r="K20" s="17"/>
      <x:c r="L20" s="17" t="str">
        <x:f>IF(J20="","",J20-K20)</x:f>
      </x:c>
      <x:c r="M20" s="13"/>
      <x:c r="N20" s="11"/>
      <x:c r="O20" s="11"/>
      <x:c r="P20" s="17"/>
      <x:c r="Q20" s="16" t="str">
        <x:f>IF(AND(H20="",I20=""),"",MIN(MAX(P20,0),MAX(SUM(H20,I20),0)))</x:f>
      </x:c>
    </x:row>
    <x:row r="21" ht="28" customHeight="1">
      <x:c r="A21" s="11"/>
      <x:c r="B21" s="11"/>
      <x:c r="C21" s="11"/>
      <x:c r="D21" s="11"/>
      <x:c r="E21" s="13"/>
      <x:c r="F21" s="17"/>
      <x:c r="G21" s="19"/>
      <x:c r="H21" s="16" t="str">
        <x:f>IF(OR(F21="",G21=""),"",ROUND(F21*G21,2))</x:f>
      </x:c>
      <x:c r="I21" s="17"/>
      <x:c r="J21" s="16" t="str">
        <x:f>IF(AND(H21="",I21=""),"",SUM(H21,I21)-Q21)</x:f>
      </x:c>
      <x:c r="K21" s="17"/>
      <x:c r="L21" s="17" t="str">
        <x:f>IF(J21="","",J21-K21)</x:f>
      </x:c>
      <x:c r="M21" s="13"/>
      <x:c r="N21" s="11"/>
      <x:c r="O21" s="11"/>
      <x:c r="P21" s="17"/>
      <x:c r="Q21" s="16" t="str">
        <x:f>IF(AND(H21="",I21=""),"",MIN(MAX(P21,0),MAX(SUM(H21,I21),0)))</x:f>
      </x:c>
    </x:row>
    <x:row r="22" ht="28" customHeight="1">
      <x:c r="A22" s="11"/>
      <x:c r="B22" s="11"/>
      <x:c r="C22" s="11"/>
      <x:c r="D22" s="11"/>
      <x:c r="E22" s="13"/>
      <x:c r="F22" s="17"/>
      <x:c r="G22" s="19"/>
      <x:c r="H22" s="16" t="str">
        <x:f>IF(OR(F22="",G22=""),"",ROUND(F22*G22,2))</x:f>
      </x:c>
      <x:c r="I22" s="17"/>
      <x:c r="J22" s="16" t="str">
        <x:f>IF(AND(H22="",I22=""),"",SUM(H22,I22)-Q22)</x:f>
      </x:c>
      <x:c r="K22" s="17"/>
      <x:c r="L22" s="17" t="str">
        <x:f>IF(J22="","",J22-K22)</x:f>
      </x:c>
      <x:c r="M22" s="13"/>
      <x:c r="N22" s="11"/>
      <x:c r="O22" s="11"/>
      <x:c r="P22" s="17"/>
      <x:c r="Q22" s="16" t="str">
        <x:f>IF(AND(H22="",I22=""),"",MIN(MAX(P22,0),MAX(SUM(H22,I22),0)))</x:f>
      </x:c>
    </x:row>
    <x:row r="23" ht="28" customHeight="1">
      <x:c r="A23" s="11"/>
      <x:c r="B23" s="11"/>
      <x:c r="C23" s="11"/>
      <x:c r="D23" s="11"/>
      <x:c r="E23" s="13"/>
      <x:c r="F23" s="17"/>
      <x:c r="G23" s="19"/>
      <x:c r="H23" s="16" t="str">
        <x:f>IF(OR(F23="",G23=""),"",ROUND(F23*G23,2))</x:f>
      </x:c>
      <x:c r="I23" s="17"/>
      <x:c r="J23" s="16" t="str">
        <x:f>IF(AND(H23="",I23=""),"",SUM(H23,I23)-Q23)</x:f>
      </x:c>
      <x:c r="K23" s="17"/>
      <x:c r="L23" s="17" t="str">
        <x:f>IF(J23="","",J23-K23)</x:f>
      </x:c>
      <x:c r="M23" s="13"/>
      <x:c r="N23" s="11"/>
      <x:c r="O23" s="11"/>
      <x:c r="P23" s="17"/>
      <x:c r="Q23" s="16" t="str">
        <x:f>IF(AND(H23="",I23=""),"",MIN(MAX(P23,0),MAX(SUM(H23,I23),0)))</x:f>
      </x:c>
    </x:row>
    <x:row r="24" ht="28" customHeight="1">
      <x:c r="A24" s="11"/>
      <x:c r="B24" s="11"/>
      <x:c r="C24" s="11"/>
      <x:c r="D24" s="11"/>
      <x:c r="E24" s="13"/>
      <x:c r="F24" s="17"/>
      <x:c r="G24" s="19"/>
      <x:c r="H24" s="16" t="str">
        <x:f>IF(OR(F24="",G24=""),"",ROUND(F24*G24,2))</x:f>
      </x:c>
      <x:c r="I24" s="17"/>
      <x:c r="J24" s="16" t="str">
        <x:f>IF(AND(H24="",I24=""),"",SUM(H24,I24)-Q24)</x:f>
      </x:c>
      <x:c r="K24" s="17"/>
      <x:c r="L24" s="17" t="str">
        <x:f>IF(J24="","",J24-K24)</x:f>
      </x:c>
      <x:c r="M24" s="13"/>
      <x:c r="N24" s="11"/>
      <x:c r="O24" s="11"/>
      <x:c r="P24" s="17"/>
      <x:c r="Q24" s="16" t="str">
        <x:f>IF(AND(H24="",I24=""),"",MIN(MAX(P24,0),MAX(SUM(H24,I24),0)))</x:f>
      </x:c>
    </x:row>
    <x:row r="25" ht="28" customHeight="1">
      <x:c r="A25" s="11"/>
      <x:c r="B25" s="11"/>
      <x:c r="C25" s="11"/>
      <x:c r="D25" s="11"/>
      <x:c r="E25" s="13"/>
      <x:c r="F25" s="17"/>
      <x:c r="G25" s="19"/>
      <x:c r="H25" s="16" t="str">
        <x:f>IF(OR(F25="",G25=""),"",ROUND(F25*G25,2))</x:f>
      </x:c>
      <x:c r="I25" s="17"/>
      <x:c r="J25" s="16" t="str">
        <x:f>IF(AND(H25="",I25=""),"",SUM(H25,I25)-Q25)</x:f>
      </x:c>
      <x:c r="K25" s="17"/>
      <x:c r="L25" s="17" t="str">
        <x:f>IF(J25="","",J25-K25)</x:f>
      </x:c>
      <x:c r="M25" s="13"/>
      <x:c r="N25" s="11"/>
      <x:c r="O25" s="11"/>
      <x:c r="P25" s="17"/>
      <x:c r="Q25" s="16" t="str">
        <x:f>IF(AND(H25="",I25=""),"",MIN(MAX(P25,0),MAX(SUM(H25,I25),0)))</x:f>
      </x:c>
    </x:row>
    <x:row r="26" ht="28" customHeight="1">
      <x:c r="A26" s="11"/>
      <x:c r="B26" s="11"/>
      <x:c r="C26" s="11"/>
      <x:c r="D26" s="11"/>
      <x:c r="E26" s="13"/>
      <x:c r="F26" s="17"/>
      <x:c r="G26" s="19"/>
      <x:c r="H26" s="16" t="str">
        <x:f>IF(OR(F26="",G26=""),"",ROUND(F26*G26,2))</x:f>
      </x:c>
      <x:c r="I26" s="17"/>
      <x:c r="J26" s="16" t="str">
        <x:f>IF(AND(H26="",I26=""),"",SUM(H26,I26)-Q26)</x:f>
      </x:c>
      <x:c r="K26" s="17"/>
      <x:c r="L26" s="17" t="str">
        <x:f>IF(J26="","",J26-K26)</x:f>
      </x:c>
      <x:c r="M26" s="13"/>
      <x:c r="N26" s="11"/>
      <x:c r="O26" s="11"/>
      <x:c r="P26" s="17"/>
      <x:c r="Q26" s="16" t="str">
        <x:f>IF(AND(H26="",I26=""),"",MIN(MAX(P26,0),MAX(SUM(H26,I26),0)))</x:f>
      </x:c>
    </x:row>
    <x:row r="27" ht="28" customHeight="1">
      <x:c r="A27" s="11"/>
      <x:c r="B27" s="11"/>
      <x:c r="C27" s="11"/>
      <x:c r="D27" s="11"/>
      <x:c r="E27" s="13"/>
      <x:c r="F27" s="17"/>
      <x:c r="G27" s="19"/>
      <x:c r="H27" s="16" t="str">
        <x:f>IF(OR(F27="",G27=""),"",ROUND(F27*G27,2))</x:f>
      </x:c>
      <x:c r="I27" s="17"/>
      <x:c r="J27" s="16" t="str">
        <x:f>IF(AND(H27="",I27=""),"",SUM(H27,I27)-Q27)</x:f>
      </x:c>
      <x:c r="K27" s="17"/>
      <x:c r="L27" s="17" t="str">
        <x:f>IF(J27="","",J27-K27)</x:f>
      </x:c>
      <x:c r="M27" s="13"/>
      <x:c r="N27" s="11"/>
      <x:c r="O27" s="11"/>
      <x:c r="P27" s="17"/>
      <x:c r="Q27" s="16" t="str">
        <x:f>IF(AND(H27="",I27=""),"",MIN(MAX(P27,0),MAX(SUM(H27,I27),0)))</x:f>
      </x:c>
    </x:row>
    <x:row r="28" ht="28" customHeight="1">
      <x:c r="A28" s="11"/>
      <x:c r="B28" s="11"/>
      <x:c r="C28" s="11"/>
      <x:c r="D28" s="11"/>
      <x:c r="E28" s="13"/>
      <x:c r="F28" s="17"/>
      <x:c r="G28" s="19"/>
      <x:c r="H28" s="16" t="str">
        <x:f>IF(OR(F28="",G28=""),"",ROUND(F28*G28,2))</x:f>
      </x:c>
      <x:c r="I28" s="17"/>
      <x:c r="J28" s="16" t="str">
        <x:f>IF(AND(H28="",I28=""),"",SUM(H28,I28)-Q28)</x:f>
      </x:c>
      <x:c r="K28" s="17"/>
      <x:c r="L28" s="17" t="str">
        <x:f>IF(J28="","",J28-K28)</x:f>
      </x:c>
      <x:c r="M28" s="13"/>
      <x:c r="N28" s="11"/>
      <x:c r="O28" s="11"/>
      <x:c r="P28" s="17"/>
      <x:c r="Q28" s="16" t="str">
        <x:f>IF(AND(H28="",I28=""),"",MIN(MAX(P28,0),MAX(SUM(H28,I28),0)))</x:f>
      </x:c>
    </x:row>
    <x:row r="29" ht="28" customHeight="1">
      <x:c r="A29" s="11"/>
      <x:c r="B29" s="11"/>
      <x:c r="C29" s="11"/>
      <x:c r="D29" s="11"/>
      <x:c r="E29" s="13"/>
      <x:c r="F29" s="17"/>
      <x:c r="G29" s="19"/>
      <x:c r="H29" s="16" t="str">
        <x:f>IF(OR(F29="",G29=""),"",ROUND(F29*G29,2))</x:f>
      </x:c>
      <x:c r="I29" s="17"/>
      <x:c r="J29" s="16" t="str">
        <x:f>IF(AND(H29="",I29=""),"",SUM(H29,I29)-Q29)</x:f>
      </x:c>
      <x:c r="K29" s="17"/>
      <x:c r="L29" s="17" t="str">
        <x:f>IF(J29="","",J29-K29)</x:f>
      </x:c>
      <x:c r="M29" s="13"/>
      <x:c r="N29" s="11"/>
      <x:c r="O29" s="11"/>
      <x:c r="P29" s="17"/>
      <x:c r="Q29" s="16" t="str">
        <x:f>IF(AND(H29="",I29=""),"",MIN(MAX(P29,0),MAX(SUM(H29,I29),0)))</x:f>
      </x:c>
    </x:row>
    <x:row r="30" ht="28" customHeight="1">
      <x:c r="A30" s="11"/>
      <x:c r="B30" s="11"/>
      <x:c r="C30" s="11"/>
      <x:c r="D30" s="11"/>
      <x:c r="E30" s="13"/>
      <x:c r="F30" s="17"/>
      <x:c r="G30" s="19"/>
      <x:c r="H30" s="16" t="str">
        <x:f>IF(OR(F30="",G30=""),"",ROUND(F30*G30,2))</x:f>
      </x:c>
      <x:c r="I30" s="17"/>
      <x:c r="J30" s="16" t="str">
        <x:f>IF(AND(H30="",I30=""),"",SUM(H30,I30)-Q30)</x:f>
      </x:c>
      <x:c r="K30" s="17"/>
      <x:c r="L30" s="17" t="str">
        <x:f>IF(J30="","",J30-K30)</x:f>
      </x:c>
      <x:c r="M30" s="13"/>
      <x:c r="N30" s="11"/>
      <x:c r="O30" s="11"/>
      <x:c r="P30" s="17"/>
      <x:c r="Q30" s="16" t="str">
        <x:f>IF(AND(H30="",I30=""),"",MIN(MAX(P30,0),MAX(SUM(H30,I30),0)))</x:f>
      </x:c>
    </x:row>
    <x:row r="31" ht="28" customHeight="1">
      <x:c r="A31" s="11"/>
      <x:c r="B31" s="11"/>
      <x:c r="C31" s="11"/>
      <x:c r="D31" s="11"/>
      <x:c r="E31" s="13"/>
      <x:c r="F31" s="17"/>
      <x:c r="G31" s="19"/>
      <x:c r="H31" s="16" t="str">
        <x:f>IF(OR(F31="",G31=""),"",ROUND(F31*G31,2))</x:f>
      </x:c>
      <x:c r="I31" s="17"/>
      <x:c r="J31" s="16" t="str">
        <x:f>IF(AND(H31="",I31=""),"",SUM(H31,I31)-Q31)</x:f>
      </x:c>
      <x:c r="K31" s="17"/>
      <x:c r="L31" s="17" t="str">
        <x:f>IF(J31="","",J31-K31)</x:f>
      </x:c>
      <x:c r="M31" s="13"/>
      <x:c r="N31" s="11"/>
      <x:c r="O31" s="11"/>
      <x:c r="P31" s="17"/>
      <x:c r="Q31" s="16" t="str">
        <x:f>IF(AND(H31="",I31=""),"",MIN(MAX(P31,0),MAX(SUM(H31,I31),0)))</x:f>
      </x:c>
    </x:row>
    <x:row r="32" ht="28" customHeight="1">
      <x:c r="A32" s="11"/>
      <x:c r="B32" s="11"/>
      <x:c r="C32" s="11"/>
      <x:c r="D32" s="11"/>
      <x:c r="E32" s="13"/>
      <x:c r="F32" s="17"/>
      <x:c r="G32" s="19"/>
      <x:c r="H32" s="16" t="str">
        <x:f>IF(OR(F32="",G32=""),"",ROUND(F32*G32,2))</x:f>
      </x:c>
      <x:c r="I32" s="17"/>
      <x:c r="J32" s="16" t="str">
        <x:f>IF(AND(H32="",I32=""),"",SUM(H32,I32)-Q32)</x:f>
      </x:c>
      <x:c r="K32" s="17"/>
      <x:c r="L32" s="17" t="str">
        <x:f>IF(J32="","",J32-K32)</x:f>
      </x:c>
      <x:c r="M32" s="13"/>
      <x:c r="N32" s="11"/>
      <x:c r="O32" s="11"/>
      <x:c r="P32" s="17"/>
      <x:c r="Q32" s="16" t="str">
        <x:f>IF(AND(H32="",I32=""),"",MIN(MAX(P32,0),MAX(SUM(H32,I32),0)))</x:f>
      </x:c>
    </x:row>
    <x:row r="33" ht="28" customHeight="1">
      <x:c r="A33" s="11"/>
      <x:c r="B33" s="11"/>
      <x:c r="C33" s="11"/>
      <x:c r="D33" s="11"/>
      <x:c r="E33" s="13"/>
      <x:c r="F33" s="17"/>
      <x:c r="G33" s="19"/>
      <x:c r="H33" s="16" t="str">
        <x:f>IF(OR(F33="",G33=""),"",ROUND(F33*G33,2))</x:f>
      </x:c>
      <x:c r="I33" s="17"/>
      <x:c r="J33" s="16" t="str">
        <x:f>IF(AND(H33="",I33=""),"",SUM(H33,I33)-Q33)</x:f>
      </x:c>
      <x:c r="K33" s="17"/>
      <x:c r="L33" s="17" t="str">
        <x:f>IF(J33="","",J33-K33)</x:f>
      </x:c>
      <x:c r="M33" s="13"/>
      <x:c r="N33" s="11"/>
      <x:c r="O33" s="11"/>
      <x:c r="P33" s="17"/>
      <x:c r="Q33" s="16" t="str">
        <x:f>IF(AND(H33="",I33=""),"",MIN(MAX(P33,0),MAX(SUM(H33,I33),0)))</x:f>
      </x:c>
    </x:row>
    <x:row r="34" ht="28" customHeight="1">
      <x:c r="A34" s="11"/>
      <x:c r="B34" s="11"/>
      <x:c r="C34" s="11"/>
      <x:c r="D34" s="11"/>
      <x:c r="E34" s="13"/>
      <x:c r="F34" s="17"/>
      <x:c r="G34" s="19"/>
      <x:c r="H34" s="16" t="str">
        <x:f>IF(OR(F34="",G34=""),"",ROUND(F34*G34,2))</x:f>
      </x:c>
      <x:c r="I34" s="17"/>
      <x:c r="J34" s="16" t="str">
        <x:f>IF(AND(H34="",I34=""),"",SUM(H34,I34)-Q34)</x:f>
      </x:c>
      <x:c r="K34" s="17"/>
      <x:c r="L34" s="17" t="str">
        <x:f>IF(J34="","",J34-K34)</x:f>
      </x:c>
      <x:c r="M34" s="13"/>
      <x:c r="N34" s="11"/>
      <x:c r="O34" s="11"/>
      <x:c r="P34" s="17"/>
      <x:c r="Q34" s="16" t="str">
        <x:f>IF(AND(H34="",I34=""),"",MIN(MAX(P34,0),MAX(SUM(H34,I34),0)))</x:f>
      </x:c>
    </x:row>
    <x:row r="35" ht="28" customHeight="1">
      <x:c r="A35" s="12"/>
      <x:c r="B35" s="12"/>
      <x:c r="C35" s="12"/>
      <x:c r="D35" s="12"/>
      <x:c r="E35" s="14"/>
      <x:c r="F35" s="18"/>
      <x:c r="G35" s="20"/>
      <x:c r="H35" s="16" t="str">
        <x:f>IF(OR(F35="",G35=""),"",ROUND(F35*G35,2))</x:f>
      </x:c>
      <x:c r="I35" s="18"/>
      <x:c r="J35" s="16" t="str">
        <x:f>IF(AND(H35="",I35=""),"",SUM(H35,I35)-Q35)</x:f>
      </x:c>
      <x:c r="K35" s="18"/>
      <x:c r="L35" s="17" t="str">
        <x:f>IF(J35="","",J35-K35)</x:f>
      </x:c>
      <x:c r="M35" s="14"/>
      <x:c r="N35" s="12"/>
      <x:c r="O35" s="12"/>
      <x:c r="P35" s="18"/>
      <x:c r="Q35" s="16" t="str">
        <x:f>IF(AND(H35="",I35=""),"",MIN(MAX(P35,0),MAX(SUM(H35,I35),0)))</x:f>
      </x:c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>
      <x:c r="A38" s="2" t="str">
        <x:v>Referral: 20% first engagement / month, then 10%. Outbound: approved 30% premium / 25% standard; first retainer 20% then 15%. Separate repeats / business partners 10%.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>
      <x:c r="A39" s="2" t="str">
        <x:v>Exclude taxes, refunds, chargebacks, credits and separately itemized pass-through costs. Internal costs and normal processing fees do not reduce the basis.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>
      <x:c r="A40" s="2" t="str">
        <x:v>P/Q apply only to old agreements that credit a previously paid meeting incentive against commission. For new Conditional bonus agreements leave P blank/zero; use Meetings and Bonus Balances.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>
      <x:c r="A41" s="26" t="str">
        <x:v>Reconcile each recurring receipt against Referrals I (original window) or O (new first outbound-retainer window), the accepted terms and the paid-month count. Do not auto-extend legacy agreements.</x:v>
      </x:c>
    </x:row>
  </x:sheetData>
  <x:dataValidations count="2">
    <x:dataValidation type="list" sqref="D6:D35">
      <x:formula1>"Referral first engagement,Referral repeat,Referral month 1,Referral later month,Business partner project,Business partner recurring,Outbound premium,Outbound standard,Outbound month 1,Outbound later month,Outbound repeat,Legacy terms"</x:formula1>
    </x:dataValidation>
    <x:dataValidation type="list" sqref="G6:G35">
      <x:formula1>"0.2,0.1,0.15,0.25,0.3"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DB963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40" hidden="0" customWidth="1"/>
    <x:col min="7" max="7" width="40" hidden="0" customWidth="1"/>
    <x:col min="8" max="8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Confirmation history</x:v>
      </x:c>
      <x:c r="B2" s="2"/>
      <x:c r="C2" s="2"/>
      <x:c r="D2" s="2"/>
      <x:c r="E2" s="2"/>
      <x:c r="F2" s="2"/>
      <x:c r="G2" s="2"/>
      <x:c r="H2" s="2"/>
    </x:row>
    <x:row r="3">
      <x:c r="A3" s="4" t="str">
        <x:v>Append decisions. Keep earlier entries and link the original introduction, written approvals and payout evidence.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8" t="str">
        <x:v>Event ID</x:v>
      </x:c>
      <x:c r="B5" s="8" t="str">
        <x:v>Referral / payment ID</x:v>
      </x:c>
      <x:c r="C5" s="8" t="str">
        <x:v>Event date</x:v>
      </x:c>
      <x:c r="D5" s="8" t="str">
        <x:v>Event type</x:v>
      </x:c>
      <x:c r="E5" s="8" t="str">
        <x:v>Confirmed by</x:v>
      </x:c>
      <x:c r="F5" s="8" t="str">
        <x:v>Decision / agreed terms</x:v>
      </x:c>
      <x:c r="G5" s="8" t="str">
        <x:v>Evidence link</x:v>
      </x:c>
      <x:c r="H5" s="8" t="str">
        <x:v>Next action</x:v>
      </x:c>
    </x:row>
    <x:row r="6" ht="28" customHeight="1">
      <x:c r="A6" s="11"/>
      <x:c r="B6" s="11"/>
      <x:c r="C6" s="13"/>
      <x:c r="D6" s="11"/>
      <x:c r="E6" s="11"/>
      <x:c r="F6" s="11"/>
      <x:c r="G6" s="11"/>
      <x:c r="H6" s="11"/>
    </x:row>
    <x:row r="7" ht="28" customHeight="1">
      <x:c r="A7" s="11"/>
      <x:c r="B7" s="11"/>
      <x:c r="C7" s="13"/>
      <x:c r="D7" s="11"/>
      <x:c r="E7" s="11"/>
      <x:c r="F7" s="11"/>
      <x:c r="G7" s="11"/>
      <x:c r="H7" s="11"/>
    </x:row>
    <x:row r="8" ht="28" customHeight="1">
      <x:c r="A8" s="11"/>
      <x:c r="B8" s="11"/>
      <x:c r="C8" s="13"/>
      <x:c r="D8" s="11"/>
      <x:c r="E8" s="11"/>
      <x:c r="F8" s="11"/>
      <x:c r="G8" s="11"/>
      <x:c r="H8" s="11"/>
    </x:row>
    <x:row r="9" ht="28" customHeight="1">
      <x:c r="A9" s="11"/>
      <x:c r="B9" s="11"/>
      <x:c r="C9" s="13"/>
      <x:c r="D9" s="11"/>
      <x:c r="E9" s="11"/>
      <x:c r="F9" s="11"/>
      <x:c r="G9" s="11"/>
      <x:c r="H9" s="11"/>
    </x:row>
    <x:row r="10" ht="28" customHeight="1">
      <x:c r="A10" s="11"/>
      <x:c r="B10" s="11"/>
      <x:c r="C10" s="13"/>
      <x:c r="D10" s="11"/>
      <x:c r="E10" s="11"/>
      <x:c r="F10" s="11"/>
      <x:c r="G10" s="11"/>
      <x:c r="H10" s="11"/>
    </x:row>
    <x:row r="11" ht="28" customHeight="1">
      <x:c r="A11" s="11"/>
      <x:c r="B11" s="11"/>
      <x:c r="C11" s="13"/>
      <x:c r="D11" s="11"/>
      <x:c r="E11" s="11"/>
      <x:c r="F11" s="11"/>
      <x:c r="G11" s="11"/>
      <x:c r="H11" s="11"/>
    </x:row>
    <x:row r="12" ht="28" customHeight="1">
      <x:c r="A12" s="11"/>
      <x:c r="B12" s="11"/>
      <x:c r="C12" s="13"/>
      <x:c r="D12" s="11"/>
      <x:c r="E12" s="11"/>
      <x:c r="F12" s="11"/>
      <x:c r="G12" s="11"/>
      <x:c r="H12" s="11"/>
    </x:row>
    <x:row r="13" ht="28" customHeight="1">
      <x:c r="A13" s="11"/>
      <x:c r="B13" s="11"/>
      <x:c r="C13" s="13"/>
      <x:c r="D13" s="11"/>
      <x:c r="E13" s="11"/>
      <x:c r="F13" s="11"/>
      <x:c r="G13" s="11"/>
      <x:c r="H13" s="11"/>
    </x:row>
    <x:row r="14" ht="28" customHeight="1">
      <x:c r="A14" s="11"/>
      <x:c r="B14" s="11"/>
      <x:c r="C14" s="13"/>
      <x:c r="D14" s="11"/>
      <x:c r="E14" s="11"/>
      <x:c r="F14" s="11"/>
      <x:c r="G14" s="11"/>
      <x:c r="H14" s="11"/>
    </x:row>
    <x:row r="15" ht="28" customHeight="1">
      <x:c r="A15" s="11"/>
      <x:c r="B15" s="11"/>
      <x:c r="C15" s="13"/>
      <x:c r="D15" s="11"/>
      <x:c r="E15" s="11"/>
      <x:c r="F15" s="11"/>
      <x:c r="G15" s="11"/>
      <x:c r="H15" s="11"/>
    </x:row>
    <x:row r="16" ht="28" customHeight="1">
      <x:c r="A16" s="11"/>
      <x:c r="B16" s="11"/>
      <x:c r="C16" s="13"/>
      <x:c r="D16" s="11"/>
      <x:c r="E16" s="11"/>
      <x:c r="F16" s="11"/>
      <x:c r="G16" s="11"/>
      <x:c r="H16" s="11"/>
    </x:row>
    <x:row r="17" ht="28" customHeight="1">
      <x:c r="A17" s="11"/>
      <x:c r="B17" s="11"/>
      <x:c r="C17" s="13"/>
      <x:c r="D17" s="11"/>
      <x:c r="E17" s="11"/>
      <x:c r="F17" s="11"/>
      <x:c r="G17" s="11"/>
      <x:c r="H17" s="11"/>
    </x:row>
    <x:row r="18" ht="28" customHeight="1">
      <x:c r="A18" s="11"/>
      <x:c r="B18" s="11"/>
      <x:c r="C18" s="13"/>
      <x:c r="D18" s="11"/>
      <x:c r="E18" s="11"/>
      <x:c r="F18" s="11"/>
      <x:c r="G18" s="11"/>
      <x:c r="H18" s="11"/>
    </x:row>
    <x:row r="19" ht="28" customHeight="1">
      <x:c r="A19" s="11"/>
      <x:c r="B19" s="11"/>
      <x:c r="C19" s="13"/>
      <x:c r="D19" s="11"/>
      <x:c r="E19" s="11"/>
      <x:c r="F19" s="11"/>
      <x:c r="G19" s="11"/>
      <x:c r="H19" s="11"/>
    </x:row>
    <x:row r="20" ht="28" customHeight="1">
      <x:c r="A20" s="11"/>
      <x:c r="B20" s="11"/>
      <x:c r="C20" s="13"/>
      <x:c r="D20" s="11"/>
      <x:c r="E20" s="11"/>
      <x:c r="F20" s="11"/>
      <x:c r="G20" s="11"/>
      <x:c r="H20" s="11"/>
    </x:row>
    <x:row r="21" ht="28" customHeight="1">
      <x:c r="A21" s="11"/>
      <x:c r="B21" s="11"/>
      <x:c r="C21" s="13"/>
      <x:c r="D21" s="11"/>
      <x:c r="E21" s="11"/>
      <x:c r="F21" s="11"/>
      <x:c r="G21" s="11"/>
      <x:c r="H21" s="11"/>
    </x:row>
    <x:row r="22" ht="28" customHeight="1">
      <x:c r="A22" s="11"/>
      <x:c r="B22" s="11"/>
      <x:c r="C22" s="13"/>
      <x:c r="D22" s="11"/>
      <x:c r="E22" s="11"/>
      <x:c r="F22" s="11"/>
      <x:c r="G22" s="11"/>
      <x:c r="H22" s="11"/>
    </x:row>
    <x:row r="23" ht="28" customHeight="1">
      <x:c r="A23" s="11"/>
      <x:c r="B23" s="11"/>
      <x:c r="C23" s="13"/>
      <x:c r="D23" s="11"/>
      <x:c r="E23" s="11"/>
      <x:c r="F23" s="11"/>
      <x:c r="G23" s="11"/>
      <x:c r="H23" s="11"/>
    </x:row>
    <x:row r="24" ht="28" customHeight="1">
      <x:c r="A24" s="11"/>
      <x:c r="B24" s="11"/>
      <x:c r="C24" s="13"/>
      <x:c r="D24" s="11"/>
      <x:c r="E24" s="11"/>
      <x:c r="F24" s="11"/>
      <x:c r="G24" s="11"/>
      <x:c r="H24" s="11"/>
    </x:row>
    <x:row r="25" ht="28" customHeight="1">
      <x:c r="A25" s="11"/>
      <x:c r="B25" s="11"/>
      <x:c r="C25" s="13"/>
      <x:c r="D25" s="11"/>
      <x:c r="E25" s="11"/>
      <x:c r="F25" s="11"/>
      <x:c r="G25" s="11"/>
      <x:c r="H25" s="11"/>
    </x:row>
    <x:row r="26" ht="28" customHeight="1">
      <x:c r="A26" s="11"/>
      <x:c r="B26" s="11"/>
      <x:c r="C26" s="13"/>
      <x:c r="D26" s="11"/>
      <x:c r="E26" s="11"/>
      <x:c r="F26" s="11"/>
      <x:c r="G26" s="11"/>
      <x:c r="H26" s="11"/>
    </x:row>
    <x:row r="27" ht="28" customHeight="1">
      <x:c r="A27" s="11"/>
      <x:c r="B27" s="11"/>
      <x:c r="C27" s="13"/>
      <x:c r="D27" s="11"/>
      <x:c r="E27" s="11"/>
      <x:c r="F27" s="11"/>
      <x:c r="G27" s="11"/>
      <x:c r="H27" s="11"/>
    </x:row>
    <x:row r="28" ht="28" customHeight="1">
      <x:c r="A28" s="11"/>
      <x:c r="B28" s="11"/>
      <x:c r="C28" s="13"/>
      <x:c r="D28" s="11"/>
      <x:c r="E28" s="11"/>
      <x:c r="F28" s="11"/>
      <x:c r="G28" s="11"/>
      <x:c r="H28" s="11"/>
    </x:row>
    <x:row r="29" ht="28" customHeight="1">
      <x:c r="A29" s="11"/>
      <x:c r="B29" s="11"/>
      <x:c r="C29" s="13"/>
      <x:c r="D29" s="11"/>
      <x:c r="E29" s="11"/>
      <x:c r="F29" s="11"/>
      <x:c r="G29" s="11"/>
      <x:c r="H29" s="11"/>
    </x:row>
    <x:row r="30" ht="28" customHeight="1">
      <x:c r="A30" s="11"/>
      <x:c r="B30" s="11"/>
      <x:c r="C30" s="13"/>
      <x:c r="D30" s="11"/>
      <x:c r="E30" s="11"/>
      <x:c r="F30" s="11"/>
      <x:c r="G30" s="11"/>
      <x:c r="H30" s="11"/>
    </x:row>
    <x:row r="31" ht="28" customHeight="1">
      <x:c r="A31" s="11"/>
      <x:c r="B31" s="11"/>
      <x:c r="C31" s="13"/>
      <x:c r="D31" s="11"/>
      <x:c r="E31" s="11"/>
      <x:c r="F31" s="11"/>
      <x:c r="G31" s="11"/>
      <x:c r="H31" s="11"/>
    </x:row>
    <x:row r="32" ht="28" customHeight="1">
      <x:c r="A32" s="11"/>
      <x:c r="B32" s="11"/>
      <x:c r="C32" s="13"/>
      <x:c r="D32" s="11"/>
      <x:c r="E32" s="11"/>
      <x:c r="F32" s="11"/>
      <x:c r="G32" s="11"/>
      <x:c r="H32" s="11"/>
    </x:row>
    <x:row r="33" ht="28" customHeight="1">
      <x:c r="A33" s="11"/>
      <x:c r="B33" s="11"/>
      <x:c r="C33" s="13"/>
      <x:c r="D33" s="11"/>
      <x:c r="E33" s="11"/>
      <x:c r="F33" s="11"/>
      <x:c r="G33" s="11"/>
      <x:c r="H33" s="11"/>
    </x:row>
    <x:row r="34" ht="28" customHeight="1">
      <x:c r="A34" s="11"/>
      <x:c r="B34" s="11"/>
      <x:c r="C34" s="13"/>
      <x:c r="D34" s="11"/>
      <x:c r="E34" s="11"/>
      <x:c r="F34" s="11"/>
      <x:c r="G34" s="11"/>
      <x:c r="H34" s="11"/>
    </x:row>
    <x:row r="35" ht="28" customHeight="1">
      <x:c r="A35" s="12"/>
      <x:c r="B35" s="12"/>
      <x:c r="C35" s="14"/>
      <x:c r="D35" s="12"/>
      <x:c r="E35" s="12"/>
      <x:c r="F35" s="12"/>
      <x:c r="G35" s="12"/>
      <x:c r="H35" s="1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</x:sheetData>
  <x:dataValidations count="1">
    <x:dataValidation type="list" sqref="D6:D35">
      <x:formula1>"Application reviewed,Referral accepted,Referral declined,Terms agreed,Payment cleared,Commission paid,Adjustment explained,Participation ended,Pilot dates approved,Meeting approved,Meeting confirmed,Meeting incentive paid,Meeting credit applied,Retainer terms agreed,Retainer window confirmed,Conditional bonus recorded,Bonus payment unlocked,Bonus paid"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DB963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36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  <x:col min="18" max="18" width="42" hidden="0" customWidth="1"/>
    <x:col min="19" max="19" width="32" hidden="0" customWidth="1"/>
    <x:col min="20" max="20" width="32" hidden="0" customWidth="1"/>
    <x:col min="21" max="21" width="32" hidden="0" customWidth="1"/>
    <x:col min="22" max="22" width="32" hidden="0" customWidth="1"/>
    <x:col min="23" max="23" width="32" hidden="0" customWidth="1"/>
    <x:col min="24" max="24" width="32" hidden="0" customWidth="1"/>
    <x:col min="25" max="25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>
      <x:c r="A2" s="3" t="str">
        <x:v>Qualified meeting pilot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>
      <x:c r="A3" s="4" t="str">
        <x:v>New agreements: conditional $100 bonuses, paid only after an eligible cleared pilot sale • legacy agreements retain original rights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42" customHeight="1">
      <x:c r="A5" s="8" t="str">
        <x:v>Meeting ID</x:v>
      </x:c>
      <x:c r="B5" s="8" t="str">
        <x:v>Partner ID / email</x:v>
      </x:c>
      <x:c r="C5" s="8" t="str">
        <x:v>Pilot ID</x:v>
      </x:c>
      <x:c r="D5" s="8" t="str">
        <x:v>Opportunity ID</x:v>
      </x:c>
      <x:c r="E5" s="8" t="str">
        <x:v>Pilot start</x:v>
      </x:c>
      <x:c r="F5" s="8" t="str">
        <x:v>Pilot end (exclusive)</x:v>
      </x:c>
      <x:c r="G5" s="8" t="str">
        <x:v>Meeting date</x:v>
      </x:c>
      <x:c r="H5" s="8" t="str">
        <x:v>Approval date</x:v>
      </x:c>
      <x:c r="I5" s="8" t="str">
        <x:v>Confirmation date</x:v>
      </x:c>
      <x:c r="J5" s="8" t="str">
        <x:v>Status</x:v>
      </x:c>
      <x:c r="K5" s="8" t="str">
        <x:v>Decision-maker / criteria</x:v>
      </x:c>
      <x:c r="L5" s="8" t="str">
        <x:v>Recorded bonus / legacy earned USD</x:v>
      </x:c>
      <x:c r="M5" s="8" t="str">
        <x:v>Bonus / legacy incentive paid USD</x:v>
      </x:c>
      <x:c r="N5" s="8" t="str">
        <x:v>Legacy credit used USD</x:v>
      </x:c>
      <x:c r="O5" s="8" t="str">
        <x:v>Legacy unused paid credit USD</x:v>
      </x:c>
      <x:c r="P5" s="8" t="str">
        <x:v>Payable outstanding USD</x:v>
      </x:c>
      <x:c r="Q5" s="8" t="str">
        <x:v>Payout date</x:v>
      </x:c>
      <x:c r="R5" s="8" t="str">
        <x:v>Evidence / reconciliation</x:v>
      </x:c>
      <x:c r="S5" s="8" t="str">
        <x:v>Written payment terms</x:v>
      </x:c>
      <x:c r="T5" s="8" t="str">
        <x:v>Qualification check</x:v>
      </x:c>
      <x:c r="U5" s="8" t="str">
        <x:v>Bonus due date</x:v>
      </x:c>
      <x:c r="V5" s="8" t="str">
        <x:v>Payment check</x:v>
      </x:c>
      <x:c r="W5" s="8" t="str">
        <x:v>Bonus refund adjustment USD</x:v>
      </x:c>
      <x:c r="X5" s="8" t="str">
        <x:v>Bonus recovered / offset USD</x:v>
      </x:c>
      <x:c r="Y5" s="8" t="str">
        <x:v>Recovery outstanding USD</x:v>
      </x:c>
    </x:row>
    <x:row r="6" ht="28" customHeight="1">
      <x:c r="A6" s="11"/>
      <x:c r="B6" s="11"/>
      <x:c r="C6" s="11"/>
      <x:c r="D6" s="11"/>
      <x:c r="E6" s="13"/>
      <x:c r="F6" s="15" t="str">
        <x:f>IF(E6="","",E6+60)</x:f>
      </x:c>
      <x:c r="G6" s="13"/>
      <x:c r="H6" s="13"/>
      <x:c r="I6" s="13"/>
      <x:c r="J6" s="11"/>
      <x:c r="K6" s="11"/>
      <x:c r="L6" s="16" t="str">
        <x:f>IF(A6="","",IF(AND(T6="Qualifies",COUNTIFS(B$6:B6,B6,C$6:C6,C6,T$6:T6,"Qualifies")&lt;=4),100,0))</x:f>
      </x:c>
      <x:c r="M6" s="17"/>
      <x:c r="N6" s="17"/>
      <x:c r="O6" s="16" t="str">
        <x:f>IF(A6="","",IF(S6="Legacy meeting terms",MAX(0,M6-N6),0))</x:f>
      </x:c>
      <x:c r="P6" s="16" t="str">
        <x:f>IF(A6="","",IF(S6="Legacy meeting terms",MAX(0,L6-M6),IF(AND(S6="Conditional bonus",COUNTIFS('Bonus Balances'!A$6:A$35,C6,'Bonus Balances'!B$6:B$35,B6,'Bonus Balances'!I$6:I$35,"Ready")=1,COUNTIFS('Bonus Balances'!A$6:A$35,C6,'Bonus Balances'!B$6:B$35,B6,'Bonus Balances'!W$6:W$35,"Valid")=1,M6&gt;=0,M6&lt;=L6,X6&gt;=0,X6&lt;=MAX(0,M6-(L6-W6))),ROUND(MAX(0,L6-W6-M6+X6),2),0)))</x:f>
      </x:c>
      <x:c r="Q6" s="13"/>
      <x:c r="R6" s="11"/>
      <x:c r="S6" s="27"/>
      <x:c r="T6" s="30" t="str">
        <x:f>IF(A6="","",IF(AND(AND(J6="Confirmed",B6&lt;&gt;"",C6&lt;&gt;"",D6&lt;&gt;"",ISNUMBER(E6),ISNUMBER(G6),ISNUMBER(H6),ISNUMBER(I6),K6&lt;&gt;"",R6&lt;&gt;"",G6&gt;=E6,G6&lt;F6,H6&lt;=G6,I6&gt;=G6),OR(S6="Conditional bonus",S6="Legacy meeting terms"),COUNTIF(A$6:A6,A6)=1,COUNTIFS(C$6:C6,C6,D$6:D6,D6)=1,IF(S6="Conditional bonus",COUNTIFS(D$6:D6,D6,S$6:S6,"Conditional bonus")=1,TRUE),IF(S6="Conditional bonus",AND(COUNTIFS('Bonus Balances'!A$6:A$35,C6,'Bonus Balances'!B$6:B$35,B6)=1,SUMIFS('Bonus Balances'!C$6:C$35,'Bonus Balances'!A$6:A$35,C6,'Bonus Balances'!B$6:B$35,B6)=E6,SUMIFS('Bonus Balances'!C$6:C$35,'Bonus Balances'!A$6:A$35,C6,'Bonus Balances'!B$6:B$35,B6)&gt;0,COUNTIFS('Bonus Balances'!A$6:A$35,C6,'Bonus Balances'!B$6:B$35,B6,'Bonus Balances'!E$6:E$35,"&lt;&gt;")=1),TRUE)),"Qualifies","Review / not eligible"))</x:f>
      </x:c>
      <x:c r="U6" s="29" t="str">
        <x:f>IF(AND(L6&gt;0,ISNUMBER(I6)),IF(S6="Legacy meeting terms",WORKDAY(I6,5),IF(COUNTIFS('Bonus Balances'!A$6:A$35,C6,'Bonus Balances'!B$6:B$35,B6,'Bonus Balances'!I$6:I$35,"Ready")=1,WORKDAY(MAX(I6,SUMIFS('Bonus Balances'!G$6:G$35,'Bonus Balances'!A$6:A$35,C6,'Bonus Balances'!B$6:B$35,B6),SUMIFS('Bonus Balances'!Q$6:Q$35,'Bonus Balances'!A$6:A$35,C6,'Bonus Balances'!B$6:B$35,B6)),5),"")),"")</x:f>
      </x:c>
      <x:c r="V6" s="30" t="str">
        <x:f>IF(A6="","",IF(OR(M6&lt;0,M6&gt;L6,X6&lt;0,AND(S6="Legacy meeting terms",X6&lt;&gt;0),AND(S6="Conditional bonus",OR(N6&lt;&gt;0,NOT(COUNTIFS('Bonus Balances'!A$6:A$35,C6,'Bonus Balances'!B$6:B$35,B6,'Bonus Balances'!W$6:W$35,"Valid")=1),X6&gt;MAX(0,M6-(L6-W6)),AND(M6&gt;0,NOT(COUNTIFS('Bonus Balances'!A$6:A$35,C6,'Bonus Balances'!B$6:B$35,B6,'Bonus Balances'!I$6:I$35,"Ready")=1))))),"Review payment / refund reconciliation",IF(L6=0,"Not payable: check eligibility / cap",IF(AND(S6="Conditional bonus",NOT(COUNTIFS('Bonus Balances'!A$6:A$35,C6,'Bonus Balances'!B$6:B$35,B6,'Bonus Balances'!I$6:I$35,"Ready")=1)),"Conditional: no payment due",IF(Y6&gt;0,"Recover bonus overpayment",IF(P6&gt;0,"Payable",IF(W6&gt;0,"Settled after refund","Paid")))))))</x:f>
      </x:c>
      <x:c r="W6" s="50" t="str">
        <x:f>IF(A6="","",IF(AND(S6="Conditional bonus",COUNTIFS('Bonus Balances'!A$6:A$35,C6,'Bonus Balances'!B$6:B$35,B6,'Bonus Balances'!W$6:W$35,"Valid")=1),ROUND(L6*SUMIFS('Bonus Balances'!R$6:R$35,'Bonus Balances'!A$6:A$35,C6,'Bonus Balances'!B$6:B$35,B6),2),0))</x:f>
      </x:c>
      <x:c r="X6" s="37"/>
      <x:c r="Y6" s="37" t="str">
        <x:f>IF(A6="","",IF(S6="Conditional bonus",ROUND(MAX(0,M6-(L6-W6)-X6),2),0))</x:f>
      </x:c>
    </x:row>
    <x:row r="7" ht="28" customHeight="1">
      <x:c r="A7" s="11"/>
      <x:c r="B7" s="11"/>
      <x:c r="C7" s="11"/>
      <x:c r="D7" s="11"/>
      <x:c r="E7" s="13"/>
      <x:c r="F7" s="15" t="str">
        <x:f>IF(E7="","",E7+60)</x:f>
      </x:c>
      <x:c r="G7" s="13"/>
      <x:c r="H7" s="13"/>
      <x:c r="I7" s="13"/>
      <x:c r="J7" s="11"/>
      <x:c r="K7" s="11"/>
      <x:c r="L7" s="16" t="str">
        <x:f>IF(A7="","",IF(AND(T7="Qualifies",COUNTIFS(B$6:B7,B7,C$6:C7,C7,T$6:T7,"Qualifies")&lt;=4),100,0))</x:f>
      </x:c>
      <x:c r="M7" s="17"/>
      <x:c r="N7" s="17"/>
      <x:c r="O7" s="16" t="str">
        <x:f>IF(A7="","",IF(S7="Legacy meeting terms",MAX(0,M7-N7),0))</x:f>
      </x:c>
      <x:c r="P7" s="16" t="str">
        <x:f>IF(A7="","",IF(S7="Legacy meeting terms",MAX(0,L7-M7),IF(AND(S7="Conditional bonus",COUNTIFS('Bonus Balances'!A$6:A$35,C7,'Bonus Balances'!B$6:B$35,B7,'Bonus Balances'!I$6:I$35,"Ready")=1,COUNTIFS('Bonus Balances'!A$6:A$35,C7,'Bonus Balances'!B$6:B$35,B7,'Bonus Balances'!W$6:W$35,"Valid")=1,M7&gt;=0,M7&lt;=L7,X7&gt;=0,X7&lt;=MAX(0,M7-(L7-W7))),ROUND(MAX(0,L7-W7-M7+X7),2),0)))</x:f>
      </x:c>
      <x:c r="Q7" s="13"/>
      <x:c r="R7" s="11"/>
      <x:c r="S7" s="27"/>
      <x:c r="T7" s="30" t="str">
        <x:f>IF(A7="","",IF(AND(AND(J7="Confirmed",B7&lt;&gt;"",C7&lt;&gt;"",D7&lt;&gt;"",ISNUMBER(E7),ISNUMBER(G7),ISNUMBER(H7),ISNUMBER(I7),K7&lt;&gt;"",R7&lt;&gt;"",G7&gt;=E7,G7&lt;F7,H7&lt;=G7,I7&gt;=G7),OR(S7="Conditional bonus",S7="Legacy meeting terms"),COUNTIF(A$6:A7,A7)=1,COUNTIFS(C$6:C7,C7,D$6:D7,D7)=1,IF(S7="Conditional bonus",COUNTIFS(D$6:D7,D7,S$6:S7,"Conditional bonus")=1,TRUE),IF(S7="Conditional bonus",AND(COUNTIFS('Bonus Balances'!A$6:A$35,C7,'Bonus Balances'!B$6:B$35,B7)=1,SUMIFS('Bonus Balances'!C$6:C$35,'Bonus Balances'!A$6:A$35,C7,'Bonus Balances'!B$6:B$35,B7)=E7,SUMIFS('Bonus Balances'!C$6:C$35,'Bonus Balances'!A$6:A$35,C7,'Bonus Balances'!B$6:B$35,B7)&gt;0,COUNTIFS('Bonus Balances'!A$6:A$35,C7,'Bonus Balances'!B$6:B$35,B7,'Bonus Balances'!E$6:E$35,"&lt;&gt;")=1),TRUE)),"Qualifies","Review / not eligible"))</x:f>
      </x:c>
      <x:c r="U7" s="29" t="str">
        <x:f>IF(AND(L7&gt;0,ISNUMBER(I7)),IF(S7="Legacy meeting terms",WORKDAY(I7,5),IF(COUNTIFS('Bonus Balances'!A$6:A$35,C7,'Bonus Balances'!B$6:B$35,B7,'Bonus Balances'!I$6:I$35,"Ready")=1,WORKDAY(MAX(I7,SUMIFS('Bonus Balances'!G$6:G$35,'Bonus Balances'!A$6:A$35,C7,'Bonus Balances'!B$6:B$35,B7),SUMIFS('Bonus Balances'!Q$6:Q$35,'Bonus Balances'!A$6:A$35,C7,'Bonus Balances'!B$6:B$35,B7)),5),"")),"")</x:f>
      </x:c>
      <x:c r="V7" s="30" t="str">
        <x:f>IF(A7="","",IF(OR(M7&lt;0,M7&gt;L7,X7&lt;0,AND(S7="Legacy meeting terms",X7&lt;&gt;0),AND(S7="Conditional bonus",OR(N7&lt;&gt;0,NOT(COUNTIFS('Bonus Balances'!A$6:A$35,C7,'Bonus Balances'!B$6:B$35,B7,'Bonus Balances'!W$6:W$35,"Valid")=1),X7&gt;MAX(0,M7-(L7-W7)),AND(M7&gt;0,NOT(COUNTIFS('Bonus Balances'!A$6:A$35,C7,'Bonus Balances'!B$6:B$35,B7,'Bonus Balances'!I$6:I$35,"Ready")=1))))),"Review payment / refund reconciliation",IF(L7=0,"Not payable: check eligibility / cap",IF(AND(S7="Conditional bonus",NOT(COUNTIFS('Bonus Balances'!A$6:A$35,C7,'Bonus Balances'!B$6:B$35,B7,'Bonus Balances'!I$6:I$35,"Ready")=1)),"Conditional: no payment due",IF(Y7&gt;0,"Recover bonus overpayment",IF(P7&gt;0,"Payable",IF(W7&gt;0,"Settled after refund","Paid")))))))</x:f>
      </x:c>
      <x:c r="W7" s="50" t="str">
        <x:f>IF(A7="","",IF(AND(S7="Conditional bonus",COUNTIFS('Bonus Balances'!A$6:A$35,C7,'Bonus Balances'!B$6:B$35,B7,'Bonus Balances'!W$6:W$35,"Valid")=1),ROUND(L7*SUMIFS('Bonus Balances'!R$6:R$35,'Bonus Balances'!A$6:A$35,C7,'Bonus Balances'!B$6:B$35,B7),2),0))</x:f>
      </x:c>
      <x:c r="X7" s="37"/>
      <x:c r="Y7" s="37" t="str">
        <x:f>IF(A7="","",IF(S7="Conditional bonus",ROUND(MAX(0,M7-(L7-W7)-X7),2),0))</x:f>
      </x:c>
    </x:row>
    <x:row r="8" ht="28" customHeight="1">
      <x:c r="A8" s="11"/>
      <x:c r="B8" s="11"/>
      <x:c r="C8" s="11"/>
      <x:c r="D8" s="11"/>
      <x:c r="E8" s="13"/>
      <x:c r="F8" s="15" t="str">
        <x:f>IF(E8="","",E8+60)</x:f>
      </x:c>
      <x:c r="G8" s="13"/>
      <x:c r="H8" s="13"/>
      <x:c r="I8" s="13"/>
      <x:c r="J8" s="11"/>
      <x:c r="K8" s="11"/>
      <x:c r="L8" s="16" t="str">
        <x:f>IF(A8="","",IF(AND(T8="Qualifies",COUNTIFS(B$6:B8,B8,C$6:C8,C8,T$6:T8,"Qualifies")&lt;=4),100,0))</x:f>
      </x:c>
      <x:c r="M8" s="17"/>
      <x:c r="N8" s="17"/>
      <x:c r="O8" s="16" t="str">
        <x:f>IF(A8="","",IF(S8="Legacy meeting terms",MAX(0,M8-N8),0))</x:f>
      </x:c>
      <x:c r="P8" s="16" t="str">
        <x:f>IF(A8="","",IF(S8="Legacy meeting terms",MAX(0,L8-M8),IF(AND(S8="Conditional bonus",COUNTIFS('Bonus Balances'!A$6:A$35,C8,'Bonus Balances'!B$6:B$35,B8,'Bonus Balances'!I$6:I$35,"Ready")=1,COUNTIFS('Bonus Balances'!A$6:A$35,C8,'Bonus Balances'!B$6:B$35,B8,'Bonus Balances'!W$6:W$35,"Valid")=1,M8&gt;=0,M8&lt;=L8,X8&gt;=0,X8&lt;=MAX(0,M8-(L8-W8))),ROUND(MAX(0,L8-W8-M8+X8),2),0)))</x:f>
      </x:c>
      <x:c r="Q8" s="13"/>
      <x:c r="R8" s="11"/>
      <x:c r="S8" s="27"/>
      <x:c r="T8" s="30" t="str">
        <x:f>IF(A8="","",IF(AND(AND(J8="Confirmed",B8&lt;&gt;"",C8&lt;&gt;"",D8&lt;&gt;"",ISNUMBER(E8),ISNUMBER(G8),ISNUMBER(H8),ISNUMBER(I8),K8&lt;&gt;"",R8&lt;&gt;"",G8&gt;=E8,G8&lt;F8,H8&lt;=G8,I8&gt;=G8),OR(S8="Conditional bonus",S8="Legacy meeting terms"),COUNTIF(A$6:A8,A8)=1,COUNTIFS(C$6:C8,C8,D$6:D8,D8)=1,IF(S8="Conditional bonus",COUNTIFS(D$6:D8,D8,S$6:S8,"Conditional bonus")=1,TRUE),IF(S8="Conditional bonus",AND(COUNTIFS('Bonus Balances'!A$6:A$35,C8,'Bonus Balances'!B$6:B$35,B8)=1,SUMIFS('Bonus Balances'!C$6:C$35,'Bonus Balances'!A$6:A$35,C8,'Bonus Balances'!B$6:B$35,B8)=E8,SUMIFS('Bonus Balances'!C$6:C$35,'Bonus Balances'!A$6:A$35,C8,'Bonus Balances'!B$6:B$35,B8)&gt;0,COUNTIFS('Bonus Balances'!A$6:A$35,C8,'Bonus Balances'!B$6:B$35,B8,'Bonus Balances'!E$6:E$35,"&lt;&gt;")=1),TRUE)),"Qualifies","Review / not eligible"))</x:f>
      </x:c>
      <x:c r="U8" s="29" t="str">
        <x:f>IF(AND(L8&gt;0,ISNUMBER(I8)),IF(S8="Legacy meeting terms",WORKDAY(I8,5),IF(COUNTIFS('Bonus Balances'!A$6:A$35,C8,'Bonus Balances'!B$6:B$35,B8,'Bonus Balances'!I$6:I$35,"Ready")=1,WORKDAY(MAX(I8,SUMIFS('Bonus Balances'!G$6:G$35,'Bonus Balances'!A$6:A$35,C8,'Bonus Balances'!B$6:B$35,B8),SUMIFS('Bonus Balances'!Q$6:Q$35,'Bonus Balances'!A$6:A$35,C8,'Bonus Balances'!B$6:B$35,B8)),5),"")),"")</x:f>
      </x:c>
      <x:c r="V8" s="30" t="str">
        <x:f>IF(A8="","",IF(OR(M8&lt;0,M8&gt;L8,X8&lt;0,AND(S8="Legacy meeting terms",X8&lt;&gt;0),AND(S8="Conditional bonus",OR(N8&lt;&gt;0,NOT(COUNTIFS('Bonus Balances'!A$6:A$35,C8,'Bonus Balances'!B$6:B$35,B8,'Bonus Balances'!W$6:W$35,"Valid")=1),X8&gt;MAX(0,M8-(L8-W8)),AND(M8&gt;0,NOT(COUNTIFS('Bonus Balances'!A$6:A$35,C8,'Bonus Balances'!B$6:B$35,B8,'Bonus Balances'!I$6:I$35,"Ready")=1))))),"Review payment / refund reconciliation",IF(L8=0,"Not payable: check eligibility / cap",IF(AND(S8="Conditional bonus",NOT(COUNTIFS('Bonus Balances'!A$6:A$35,C8,'Bonus Balances'!B$6:B$35,B8,'Bonus Balances'!I$6:I$35,"Ready")=1)),"Conditional: no payment due",IF(Y8&gt;0,"Recover bonus overpayment",IF(P8&gt;0,"Payable",IF(W8&gt;0,"Settled after refund","Paid")))))))</x:f>
      </x:c>
      <x:c r="W8" s="50" t="str">
        <x:f>IF(A8="","",IF(AND(S8="Conditional bonus",COUNTIFS('Bonus Balances'!A$6:A$35,C8,'Bonus Balances'!B$6:B$35,B8,'Bonus Balances'!W$6:W$35,"Valid")=1),ROUND(L8*SUMIFS('Bonus Balances'!R$6:R$35,'Bonus Balances'!A$6:A$35,C8,'Bonus Balances'!B$6:B$35,B8),2),0))</x:f>
      </x:c>
      <x:c r="X8" s="37"/>
      <x:c r="Y8" s="37" t="str">
        <x:f>IF(A8="","",IF(S8="Conditional bonus",ROUND(MAX(0,M8-(L8-W8)-X8),2),0))</x:f>
      </x:c>
    </x:row>
    <x:row r="9" ht="28" customHeight="1">
      <x:c r="A9" s="11"/>
      <x:c r="B9" s="11"/>
      <x:c r="C9" s="11"/>
      <x:c r="D9" s="11"/>
      <x:c r="E9" s="13"/>
      <x:c r="F9" s="15" t="str">
        <x:f>IF(E9="","",E9+60)</x:f>
      </x:c>
      <x:c r="G9" s="13"/>
      <x:c r="H9" s="13"/>
      <x:c r="I9" s="13"/>
      <x:c r="J9" s="11"/>
      <x:c r="K9" s="11"/>
      <x:c r="L9" s="16" t="str">
        <x:f>IF(A9="","",IF(AND(T9="Qualifies",COUNTIFS(B$6:B9,B9,C$6:C9,C9,T$6:T9,"Qualifies")&lt;=4),100,0))</x:f>
      </x:c>
      <x:c r="M9" s="17"/>
      <x:c r="N9" s="17"/>
      <x:c r="O9" s="16" t="str">
        <x:f>IF(A9="","",IF(S9="Legacy meeting terms",MAX(0,M9-N9),0))</x:f>
      </x:c>
      <x:c r="P9" s="16" t="str">
        <x:f>IF(A9="","",IF(S9="Legacy meeting terms",MAX(0,L9-M9),IF(AND(S9="Conditional bonus",COUNTIFS('Bonus Balances'!A$6:A$35,C9,'Bonus Balances'!B$6:B$35,B9,'Bonus Balances'!I$6:I$35,"Ready")=1,COUNTIFS('Bonus Balances'!A$6:A$35,C9,'Bonus Balances'!B$6:B$35,B9,'Bonus Balances'!W$6:W$35,"Valid")=1,M9&gt;=0,M9&lt;=L9,X9&gt;=0,X9&lt;=MAX(0,M9-(L9-W9))),ROUND(MAX(0,L9-W9-M9+X9),2),0)))</x:f>
      </x:c>
      <x:c r="Q9" s="13"/>
      <x:c r="R9" s="11"/>
      <x:c r="S9" s="27"/>
      <x:c r="T9" s="30" t="str">
        <x:f>IF(A9="","",IF(AND(AND(J9="Confirmed",B9&lt;&gt;"",C9&lt;&gt;"",D9&lt;&gt;"",ISNUMBER(E9),ISNUMBER(G9),ISNUMBER(H9),ISNUMBER(I9),K9&lt;&gt;"",R9&lt;&gt;"",G9&gt;=E9,G9&lt;F9,H9&lt;=G9,I9&gt;=G9),OR(S9="Conditional bonus",S9="Legacy meeting terms"),COUNTIF(A$6:A9,A9)=1,COUNTIFS(C$6:C9,C9,D$6:D9,D9)=1,IF(S9="Conditional bonus",COUNTIFS(D$6:D9,D9,S$6:S9,"Conditional bonus")=1,TRUE),IF(S9="Conditional bonus",AND(COUNTIFS('Bonus Balances'!A$6:A$35,C9,'Bonus Balances'!B$6:B$35,B9)=1,SUMIFS('Bonus Balances'!C$6:C$35,'Bonus Balances'!A$6:A$35,C9,'Bonus Balances'!B$6:B$35,B9)=E9,SUMIFS('Bonus Balances'!C$6:C$35,'Bonus Balances'!A$6:A$35,C9,'Bonus Balances'!B$6:B$35,B9)&gt;0,COUNTIFS('Bonus Balances'!A$6:A$35,C9,'Bonus Balances'!B$6:B$35,B9,'Bonus Balances'!E$6:E$35,"&lt;&gt;")=1),TRUE)),"Qualifies","Review / not eligible"))</x:f>
      </x:c>
      <x:c r="U9" s="29" t="str">
        <x:f>IF(AND(L9&gt;0,ISNUMBER(I9)),IF(S9="Legacy meeting terms",WORKDAY(I9,5),IF(COUNTIFS('Bonus Balances'!A$6:A$35,C9,'Bonus Balances'!B$6:B$35,B9,'Bonus Balances'!I$6:I$35,"Ready")=1,WORKDAY(MAX(I9,SUMIFS('Bonus Balances'!G$6:G$35,'Bonus Balances'!A$6:A$35,C9,'Bonus Balances'!B$6:B$35,B9),SUMIFS('Bonus Balances'!Q$6:Q$35,'Bonus Balances'!A$6:A$35,C9,'Bonus Balances'!B$6:B$35,B9)),5),"")),"")</x:f>
      </x:c>
      <x:c r="V9" s="30" t="str">
        <x:f>IF(A9="","",IF(OR(M9&lt;0,M9&gt;L9,X9&lt;0,AND(S9="Legacy meeting terms",X9&lt;&gt;0),AND(S9="Conditional bonus",OR(N9&lt;&gt;0,NOT(COUNTIFS('Bonus Balances'!A$6:A$35,C9,'Bonus Balances'!B$6:B$35,B9,'Bonus Balances'!W$6:W$35,"Valid")=1),X9&gt;MAX(0,M9-(L9-W9)),AND(M9&gt;0,NOT(COUNTIFS('Bonus Balances'!A$6:A$35,C9,'Bonus Balances'!B$6:B$35,B9,'Bonus Balances'!I$6:I$35,"Ready")=1))))),"Review payment / refund reconciliation",IF(L9=0,"Not payable: check eligibility / cap",IF(AND(S9="Conditional bonus",NOT(COUNTIFS('Bonus Balances'!A$6:A$35,C9,'Bonus Balances'!B$6:B$35,B9,'Bonus Balances'!I$6:I$35,"Ready")=1)),"Conditional: no payment due",IF(Y9&gt;0,"Recover bonus overpayment",IF(P9&gt;0,"Payable",IF(W9&gt;0,"Settled after refund","Paid")))))))</x:f>
      </x:c>
      <x:c r="W9" s="50" t="str">
        <x:f>IF(A9="","",IF(AND(S9="Conditional bonus",COUNTIFS('Bonus Balances'!A$6:A$35,C9,'Bonus Balances'!B$6:B$35,B9,'Bonus Balances'!W$6:W$35,"Valid")=1),ROUND(L9*SUMIFS('Bonus Balances'!R$6:R$35,'Bonus Balances'!A$6:A$35,C9,'Bonus Balances'!B$6:B$35,B9),2),0))</x:f>
      </x:c>
      <x:c r="X9" s="37"/>
      <x:c r="Y9" s="37" t="str">
        <x:f>IF(A9="","",IF(S9="Conditional bonus",ROUND(MAX(0,M9-(L9-W9)-X9),2),0))</x:f>
      </x:c>
    </x:row>
    <x:row r="10" ht="28" customHeight="1">
      <x:c r="A10" s="11"/>
      <x:c r="B10" s="11"/>
      <x:c r="C10" s="11"/>
      <x:c r="D10" s="11"/>
      <x:c r="E10" s="13"/>
      <x:c r="F10" s="15" t="str">
        <x:f>IF(E10="","",E10+60)</x:f>
      </x:c>
      <x:c r="G10" s="13"/>
      <x:c r="H10" s="13"/>
      <x:c r="I10" s="13"/>
      <x:c r="J10" s="11"/>
      <x:c r="K10" s="11"/>
      <x:c r="L10" s="16" t="str">
        <x:f>IF(A10="","",IF(AND(T10="Qualifies",COUNTIFS(B$6:B10,B10,C$6:C10,C10,T$6:T10,"Qualifies")&lt;=4),100,0))</x:f>
      </x:c>
      <x:c r="M10" s="17"/>
      <x:c r="N10" s="17"/>
      <x:c r="O10" s="16" t="str">
        <x:f>IF(A10="","",IF(S10="Legacy meeting terms",MAX(0,M10-N10),0))</x:f>
      </x:c>
      <x:c r="P10" s="16" t="str">
        <x:f>IF(A10="","",IF(S10="Legacy meeting terms",MAX(0,L10-M10),IF(AND(S10="Conditional bonus",COUNTIFS('Bonus Balances'!A$6:A$35,C10,'Bonus Balances'!B$6:B$35,B10,'Bonus Balances'!I$6:I$35,"Ready")=1,COUNTIFS('Bonus Balances'!A$6:A$35,C10,'Bonus Balances'!B$6:B$35,B10,'Bonus Balances'!W$6:W$35,"Valid")=1,M10&gt;=0,M10&lt;=L10,X10&gt;=0,X10&lt;=MAX(0,M10-(L10-W10))),ROUND(MAX(0,L10-W10-M10+X10),2),0)))</x:f>
      </x:c>
      <x:c r="Q10" s="13"/>
      <x:c r="R10" s="11"/>
      <x:c r="S10" s="27"/>
      <x:c r="T10" s="30" t="str">
        <x:f>IF(A10="","",IF(AND(AND(J10="Confirmed",B10&lt;&gt;"",C10&lt;&gt;"",D10&lt;&gt;"",ISNUMBER(E10),ISNUMBER(G10),ISNUMBER(H10),ISNUMBER(I10),K10&lt;&gt;"",R10&lt;&gt;"",G10&gt;=E10,G10&lt;F10,H10&lt;=G10,I10&gt;=G10),OR(S10="Conditional bonus",S10="Legacy meeting terms"),COUNTIF(A$6:A10,A10)=1,COUNTIFS(C$6:C10,C10,D$6:D10,D10)=1,IF(S10="Conditional bonus",COUNTIFS(D$6:D10,D10,S$6:S10,"Conditional bonus")=1,TRUE),IF(S10="Conditional bonus",AND(COUNTIFS('Bonus Balances'!A$6:A$35,C10,'Bonus Balances'!B$6:B$35,B10)=1,SUMIFS('Bonus Balances'!C$6:C$35,'Bonus Balances'!A$6:A$35,C10,'Bonus Balances'!B$6:B$35,B10)=E10,SUMIFS('Bonus Balances'!C$6:C$35,'Bonus Balances'!A$6:A$35,C10,'Bonus Balances'!B$6:B$35,B10)&gt;0,COUNTIFS('Bonus Balances'!A$6:A$35,C10,'Bonus Balances'!B$6:B$35,B10,'Bonus Balances'!E$6:E$35,"&lt;&gt;")=1),TRUE)),"Qualifies","Review / not eligible"))</x:f>
      </x:c>
      <x:c r="U10" s="29" t="str">
        <x:f>IF(AND(L10&gt;0,ISNUMBER(I10)),IF(S10="Legacy meeting terms",WORKDAY(I10,5),IF(COUNTIFS('Bonus Balances'!A$6:A$35,C10,'Bonus Balances'!B$6:B$35,B10,'Bonus Balances'!I$6:I$35,"Ready")=1,WORKDAY(MAX(I10,SUMIFS('Bonus Balances'!G$6:G$35,'Bonus Balances'!A$6:A$35,C10,'Bonus Balances'!B$6:B$35,B10),SUMIFS('Bonus Balances'!Q$6:Q$35,'Bonus Balances'!A$6:A$35,C10,'Bonus Balances'!B$6:B$35,B10)),5),"")),"")</x:f>
      </x:c>
      <x:c r="V10" s="30" t="str">
        <x:f>IF(A10="","",IF(OR(M10&lt;0,M10&gt;L10,X10&lt;0,AND(S10="Legacy meeting terms",X10&lt;&gt;0),AND(S10="Conditional bonus",OR(N10&lt;&gt;0,NOT(COUNTIFS('Bonus Balances'!A$6:A$35,C10,'Bonus Balances'!B$6:B$35,B10,'Bonus Balances'!W$6:W$35,"Valid")=1),X10&gt;MAX(0,M10-(L10-W10)),AND(M10&gt;0,NOT(COUNTIFS('Bonus Balances'!A$6:A$35,C10,'Bonus Balances'!B$6:B$35,B10,'Bonus Balances'!I$6:I$35,"Ready")=1))))),"Review payment / refund reconciliation",IF(L10=0,"Not payable: check eligibility / cap",IF(AND(S10="Conditional bonus",NOT(COUNTIFS('Bonus Balances'!A$6:A$35,C10,'Bonus Balances'!B$6:B$35,B10,'Bonus Balances'!I$6:I$35,"Ready")=1)),"Conditional: no payment due",IF(Y10&gt;0,"Recover bonus overpayment",IF(P10&gt;0,"Payable",IF(W10&gt;0,"Settled after refund","Paid")))))))</x:f>
      </x:c>
      <x:c r="W10" s="50" t="str">
        <x:f>IF(A10="","",IF(AND(S10="Conditional bonus",COUNTIFS('Bonus Balances'!A$6:A$35,C10,'Bonus Balances'!B$6:B$35,B10,'Bonus Balances'!W$6:W$35,"Valid")=1),ROUND(L10*SUMIFS('Bonus Balances'!R$6:R$35,'Bonus Balances'!A$6:A$35,C10,'Bonus Balances'!B$6:B$35,B10),2),0))</x:f>
      </x:c>
      <x:c r="X10" s="37"/>
      <x:c r="Y10" s="37" t="str">
        <x:f>IF(A10="","",IF(S10="Conditional bonus",ROUND(MAX(0,M10-(L10-W10)-X10),2),0))</x:f>
      </x:c>
    </x:row>
    <x:row r="11" ht="28" customHeight="1">
      <x:c r="A11" s="11"/>
      <x:c r="B11" s="11"/>
      <x:c r="C11" s="11"/>
      <x:c r="D11" s="11"/>
      <x:c r="E11" s="13"/>
      <x:c r="F11" s="15" t="str">
        <x:f>IF(E11="","",E11+60)</x:f>
      </x:c>
      <x:c r="G11" s="13"/>
      <x:c r="H11" s="13"/>
      <x:c r="I11" s="13"/>
      <x:c r="J11" s="11"/>
      <x:c r="K11" s="11"/>
      <x:c r="L11" s="16" t="str">
        <x:f>IF(A11="","",IF(AND(T11="Qualifies",COUNTIFS(B$6:B11,B11,C$6:C11,C11,T$6:T11,"Qualifies")&lt;=4),100,0))</x:f>
      </x:c>
      <x:c r="M11" s="17"/>
      <x:c r="N11" s="17"/>
      <x:c r="O11" s="16" t="str">
        <x:f>IF(A11="","",IF(S11="Legacy meeting terms",MAX(0,M11-N11),0))</x:f>
      </x:c>
      <x:c r="P11" s="16" t="str">
        <x:f>IF(A11="","",IF(S11="Legacy meeting terms",MAX(0,L11-M11),IF(AND(S11="Conditional bonus",COUNTIFS('Bonus Balances'!A$6:A$35,C11,'Bonus Balances'!B$6:B$35,B11,'Bonus Balances'!I$6:I$35,"Ready")=1,COUNTIFS('Bonus Balances'!A$6:A$35,C11,'Bonus Balances'!B$6:B$35,B11,'Bonus Balances'!W$6:W$35,"Valid")=1,M11&gt;=0,M11&lt;=L11,X11&gt;=0,X11&lt;=MAX(0,M11-(L11-W11))),ROUND(MAX(0,L11-W11-M11+X11),2),0)))</x:f>
      </x:c>
      <x:c r="Q11" s="13"/>
      <x:c r="R11" s="11"/>
      <x:c r="S11" s="27"/>
      <x:c r="T11" s="30" t="str">
        <x:f>IF(A11="","",IF(AND(AND(J11="Confirmed",B11&lt;&gt;"",C11&lt;&gt;"",D11&lt;&gt;"",ISNUMBER(E11),ISNUMBER(G11),ISNUMBER(H11),ISNUMBER(I11),K11&lt;&gt;"",R11&lt;&gt;"",G11&gt;=E11,G11&lt;F11,H11&lt;=G11,I11&gt;=G11),OR(S11="Conditional bonus",S11="Legacy meeting terms"),COUNTIF(A$6:A11,A11)=1,COUNTIFS(C$6:C11,C11,D$6:D11,D11)=1,IF(S11="Conditional bonus",COUNTIFS(D$6:D11,D11,S$6:S11,"Conditional bonus")=1,TRUE),IF(S11="Conditional bonus",AND(COUNTIFS('Bonus Balances'!A$6:A$35,C11,'Bonus Balances'!B$6:B$35,B11)=1,SUMIFS('Bonus Balances'!C$6:C$35,'Bonus Balances'!A$6:A$35,C11,'Bonus Balances'!B$6:B$35,B11)=E11,SUMIFS('Bonus Balances'!C$6:C$35,'Bonus Balances'!A$6:A$35,C11,'Bonus Balances'!B$6:B$35,B11)&gt;0,COUNTIFS('Bonus Balances'!A$6:A$35,C11,'Bonus Balances'!B$6:B$35,B11,'Bonus Balances'!E$6:E$35,"&lt;&gt;")=1),TRUE)),"Qualifies","Review / not eligible"))</x:f>
      </x:c>
      <x:c r="U11" s="29" t="str">
        <x:f>IF(AND(L11&gt;0,ISNUMBER(I11)),IF(S11="Legacy meeting terms",WORKDAY(I11,5),IF(COUNTIFS('Bonus Balances'!A$6:A$35,C11,'Bonus Balances'!B$6:B$35,B11,'Bonus Balances'!I$6:I$35,"Ready")=1,WORKDAY(MAX(I11,SUMIFS('Bonus Balances'!G$6:G$35,'Bonus Balances'!A$6:A$35,C11,'Bonus Balances'!B$6:B$35,B11),SUMIFS('Bonus Balances'!Q$6:Q$35,'Bonus Balances'!A$6:A$35,C11,'Bonus Balances'!B$6:B$35,B11)),5),"")),"")</x:f>
      </x:c>
      <x:c r="V11" s="30" t="str">
        <x:f>IF(A11="","",IF(OR(M11&lt;0,M11&gt;L11,X11&lt;0,AND(S11="Legacy meeting terms",X11&lt;&gt;0),AND(S11="Conditional bonus",OR(N11&lt;&gt;0,NOT(COUNTIFS('Bonus Balances'!A$6:A$35,C11,'Bonus Balances'!B$6:B$35,B11,'Bonus Balances'!W$6:W$35,"Valid")=1),X11&gt;MAX(0,M11-(L11-W11)),AND(M11&gt;0,NOT(COUNTIFS('Bonus Balances'!A$6:A$35,C11,'Bonus Balances'!B$6:B$35,B11,'Bonus Balances'!I$6:I$35,"Ready")=1))))),"Review payment / refund reconciliation",IF(L11=0,"Not payable: check eligibility / cap",IF(AND(S11="Conditional bonus",NOT(COUNTIFS('Bonus Balances'!A$6:A$35,C11,'Bonus Balances'!B$6:B$35,B11,'Bonus Balances'!I$6:I$35,"Ready")=1)),"Conditional: no payment due",IF(Y11&gt;0,"Recover bonus overpayment",IF(P11&gt;0,"Payable",IF(W11&gt;0,"Settled after refund","Paid")))))))</x:f>
      </x:c>
      <x:c r="W11" s="50" t="str">
        <x:f>IF(A11="","",IF(AND(S11="Conditional bonus",COUNTIFS('Bonus Balances'!A$6:A$35,C11,'Bonus Balances'!B$6:B$35,B11,'Bonus Balances'!W$6:W$35,"Valid")=1),ROUND(L11*SUMIFS('Bonus Balances'!R$6:R$35,'Bonus Balances'!A$6:A$35,C11,'Bonus Balances'!B$6:B$35,B11),2),0))</x:f>
      </x:c>
      <x:c r="X11" s="37"/>
      <x:c r="Y11" s="37" t="str">
        <x:f>IF(A11="","",IF(S11="Conditional bonus",ROUND(MAX(0,M11-(L11-W11)-X11),2),0))</x:f>
      </x:c>
    </x:row>
    <x:row r="12" ht="28" customHeight="1">
      <x:c r="A12" s="11"/>
      <x:c r="B12" s="11"/>
      <x:c r="C12" s="11"/>
      <x:c r="D12" s="11"/>
      <x:c r="E12" s="13"/>
      <x:c r="F12" s="15" t="str">
        <x:f>IF(E12="","",E12+60)</x:f>
      </x:c>
      <x:c r="G12" s="13"/>
      <x:c r="H12" s="13"/>
      <x:c r="I12" s="13"/>
      <x:c r="J12" s="11"/>
      <x:c r="K12" s="11"/>
      <x:c r="L12" s="16" t="str">
        <x:f>IF(A12="","",IF(AND(T12="Qualifies",COUNTIFS(B$6:B12,B12,C$6:C12,C12,T$6:T12,"Qualifies")&lt;=4),100,0))</x:f>
      </x:c>
      <x:c r="M12" s="17"/>
      <x:c r="N12" s="17"/>
      <x:c r="O12" s="16" t="str">
        <x:f>IF(A12="","",IF(S12="Legacy meeting terms",MAX(0,M12-N12),0))</x:f>
      </x:c>
      <x:c r="P12" s="16" t="str">
        <x:f>IF(A12="","",IF(S12="Legacy meeting terms",MAX(0,L12-M12),IF(AND(S12="Conditional bonus",COUNTIFS('Bonus Balances'!A$6:A$35,C12,'Bonus Balances'!B$6:B$35,B12,'Bonus Balances'!I$6:I$35,"Ready")=1,COUNTIFS('Bonus Balances'!A$6:A$35,C12,'Bonus Balances'!B$6:B$35,B12,'Bonus Balances'!W$6:W$35,"Valid")=1,M12&gt;=0,M12&lt;=L12,X12&gt;=0,X12&lt;=MAX(0,M12-(L12-W12))),ROUND(MAX(0,L12-W12-M12+X12),2),0)))</x:f>
      </x:c>
      <x:c r="Q12" s="13"/>
      <x:c r="R12" s="11"/>
      <x:c r="S12" s="27"/>
      <x:c r="T12" s="30" t="str">
        <x:f>IF(A12="","",IF(AND(AND(J12="Confirmed",B12&lt;&gt;"",C12&lt;&gt;"",D12&lt;&gt;"",ISNUMBER(E12),ISNUMBER(G12),ISNUMBER(H12),ISNUMBER(I12),K12&lt;&gt;"",R12&lt;&gt;"",G12&gt;=E12,G12&lt;F12,H12&lt;=G12,I12&gt;=G12),OR(S12="Conditional bonus",S12="Legacy meeting terms"),COUNTIF(A$6:A12,A12)=1,COUNTIFS(C$6:C12,C12,D$6:D12,D12)=1,IF(S12="Conditional bonus",COUNTIFS(D$6:D12,D12,S$6:S12,"Conditional bonus")=1,TRUE),IF(S12="Conditional bonus",AND(COUNTIFS('Bonus Balances'!A$6:A$35,C12,'Bonus Balances'!B$6:B$35,B12)=1,SUMIFS('Bonus Balances'!C$6:C$35,'Bonus Balances'!A$6:A$35,C12,'Bonus Balances'!B$6:B$35,B12)=E12,SUMIFS('Bonus Balances'!C$6:C$35,'Bonus Balances'!A$6:A$35,C12,'Bonus Balances'!B$6:B$35,B12)&gt;0,COUNTIFS('Bonus Balances'!A$6:A$35,C12,'Bonus Balances'!B$6:B$35,B12,'Bonus Balances'!E$6:E$35,"&lt;&gt;")=1),TRUE)),"Qualifies","Review / not eligible"))</x:f>
      </x:c>
      <x:c r="U12" s="29" t="str">
        <x:f>IF(AND(L12&gt;0,ISNUMBER(I12)),IF(S12="Legacy meeting terms",WORKDAY(I12,5),IF(COUNTIFS('Bonus Balances'!A$6:A$35,C12,'Bonus Balances'!B$6:B$35,B12,'Bonus Balances'!I$6:I$35,"Ready")=1,WORKDAY(MAX(I12,SUMIFS('Bonus Balances'!G$6:G$35,'Bonus Balances'!A$6:A$35,C12,'Bonus Balances'!B$6:B$35,B12),SUMIFS('Bonus Balances'!Q$6:Q$35,'Bonus Balances'!A$6:A$35,C12,'Bonus Balances'!B$6:B$35,B12)),5),"")),"")</x:f>
      </x:c>
      <x:c r="V12" s="30" t="str">
        <x:f>IF(A12="","",IF(OR(M12&lt;0,M12&gt;L12,X12&lt;0,AND(S12="Legacy meeting terms",X12&lt;&gt;0),AND(S12="Conditional bonus",OR(N12&lt;&gt;0,NOT(COUNTIFS('Bonus Balances'!A$6:A$35,C12,'Bonus Balances'!B$6:B$35,B12,'Bonus Balances'!W$6:W$35,"Valid")=1),X12&gt;MAX(0,M12-(L12-W12)),AND(M12&gt;0,NOT(COUNTIFS('Bonus Balances'!A$6:A$35,C12,'Bonus Balances'!B$6:B$35,B12,'Bonus Balances'!I$6:I$35,"Ready")=1))))),"Review payment / refund reconciliation",IF(L12=0,"Not payable: check eligibility / cap",IF(AND(S12="Conditional bonus",NOT(COUNTIFS('Bonus Balances'!A$6:A$35,C12,'Bonus Balances'!B$6:B$35,B12,'Bonus Balances'!I$6:I$35,"Ready")=1)),"Conditional: no payment due",IF(Y12&gt;0,"Recover bonus overpayment",IF(P12&gt;0,"Payable",IF(W12&gt;0,"Settled after refund","Paid")))))))</x:f>
      </x:c>
      <x:c r="W12" s="50" t="str">
        <x:f>IF(A12="","",IF(AND(S12="Conditional bonus",COUNTIFS('Bonus Balances'!A$6:A$35,C12,'Bonus Balances'!B$6:B$35,B12,'Bonus Balances'!W$6:W$35,"Valid")=1),ROUND(L12*SUMIFS('Bonus Balances'!R$6:R$35,'Bonus Balances'!A$6:A$35,C12,'Bonus Balances'!B$6:B$35,B12),2),0))</x:f>
      </x:c>
      <x:c r="X12" s="37"/>
      <x:c r="Y12" s="37" t="str">
        <x:f>IF(A12="","",IF(S12="Conditional bonus",ROUND(MAX(0,M12-(L12-W12)-X12),2),0))</x:f>
      </x:c>
    </x:row>
    <x:row r="13" ht="28" customHeight="1">
      <x:c r="A13" s="11"/>
      <x:c r="B13" s="11"/>
      <x:c r="C13" s="11"/>
      <x:c r="D13" s="11"/>
      <x:c r="E13" s="13"/>
      <x:c r="F13" s="15" t="str">
        <x:f>IF(E13="","",E13+60)</x:f>
      </x:c>
      <x:c r="G13" s="13"/>
      <x:c r="H13" s="13"/>
      <x:c r="I13" s="13"/>
      <x:c r="J13" s="11"/>
      <x:c r="K13" s="11"/>
      <x:c r="L13" s="16" t="str">
        <x:f>IF(A13="","",IF(AND(T13="Qualifies",COUNTIFS(B$6:B13,B13,C$6:C13,C13,T$6:T13,"Qualifies")&lt;=4),100,0))</x:f>
      </x:c>
      <x:c r="M13" s="17"/>
      <x:c r="N13" s="17"/>
      <x:c r="O13" s="16" t="str">
        <x:f>IF(A13="","",IF(S13="Legacy meeting terms",MAX(0,M13-N13),0))</x:f>
      </x:c>
      <x:c r="P13" s="16" t="str">
        <x:f>IF(A13="","",IF(S13="Legacy meeting terms",MAX(0,L13-M13),IF(AND(S13="Conditional bonus",COUNTIFS('Bonus Balances'!A$6:A$35,C13,'Bonus Balances'!B$6:B$35,B13,'Bonus Balances'!I$6:I$35,"Ready")=1,COUNTIFS('Bonus Balances'!A$6:A$35,C13,'Bonus Balances'!B$6:B$35,B13,'Bonus Balances'!W$6:W$35,"Valid")=1,M13&gt;=0,M13&lt;=L13,X13&gt;=0,X13&lt;=MAX(0,M13-(L13-W13))),ROUND(MAX(0,L13-W13-M13+X13),2),0)))</x:f>
      </x:c>
      <x:c r="Q13" s="13"/>
      <x:c r="R13" s="11"/>
      <x:c r="S13" s="27"/>
      <x:c r="T13" s="30" t="str">
        <x:f>IF(A13="","",IF(AND(AND(J13="Confirmed",B13&lt;&gt;"",C13&lt;&gt;"",D13&lt;&gt;"",ISNUMBER(E13),ISNUMBER(G13),ISNUMBER(H13),ISNUMBER(I13),K13&lt;&gt;"",R13&lt;&gt;"",G13&gt;=E13,G13&lt;F13,H13&lt;=G13,I13&gt;=G13),OR(S13="Conditional bonus",S13="Legacy meeting terms"),COUNTIF(A$6:A13,A13)=1,COUNTIFS(C$6:C13,C13,D$6:D13,D13)=1,IF(S13="Conditional bonus",COUNTIFS(D$6:D13,D13,S$6:S13,"Conditional bonus")=1,TRUE),IF(S13="Conditional bonus",AND(COUNTIFS('Bonus Balances'!A$6:A$35,C13,'Bonus Balances'!B$6:B$35,B13)=1,SUMIFS('Bonus Balances'!C$6:C$35,'Bonus Balances'!A$6:A$35,C13,'Bonus Balances'!B$6:B$35,B13)=E13,SUMIFS('Bonus Balances'!C$6:C$35,'Bonus Balances'!A$6:A$35,C13,'Bonus Balances'!B$6:B$35,B13)&gt;0,COUNTIFS('Bonus Balances'!A$6:A$35,C13,'Bonus Balances'!B$6:B$35,B13,'Bonus Balances'!E$6:E$35,"&lt;&gt;")=1),TRUE)),"Qualifies","Review / not eligible"))</x:f>
      </x:c>
      <x:c r="U13" s="29" t="str">
        <x:f>IF(AND(L13&gt;0,ISNUMBER(I13)),IF(S13="Legacy meeting terms",WORKDAY(I13,5),IF(COUNTIFS('Bonus Balances'!A$6:A$35,C13,'Bonus Balances'!B$6:B$35,B13,'Bonus Balances'!I$6:I$35,"Ready")=1,WORKDAY(MAX(I13,SUMIFS('Bonus Balances'!G$6:G$35,'Bonus Balances'!A$6:A$35,C13,'Bonus Balances'!B$6:B$35,B13),SUMIFS('Bonus Balances'!Q$6:Q$35,'Bonus Balances'!A$6:A$35,C13,'Bonus Balances'!B$6:B$35,B13)),5),"")),"")</x:f>
      </x:c>
      <x:c r="V13" s="30" t="str">
        <x:f>IF(A13="","",IF(OR(M13&lt;0,M13&gt;L13,X13&lt;0,AND(S13="Legacy meeting terms",X13&lt;&gt;0),AND(S13="Conditional bonus",OR(N13&lt;&gt;0,NOT(COUNTIFS('Bonus Balances'!A$6:A$35,C13,'Bonus Balances'!B$6:B$35,B13,'Bonus Balances'!W$6:W$35,"Valid")=1),X13&gt;MAX(0,M13-(L13-W13)),AND(M13&gt;0,NOT(COUNTIFS('Bonus Balances'!A$6:A$35,C13,'Bonus Balances'!B$6:B$35,B13,'Bonus Balances'!I$6:I$35,"Ready")=1))))),"Review payment / refund reconciliation",IF(L13=0,"Not payable: check eligibility / cap",IF(AND(S13="Conditional bonus",NOT(COUNTIFS('Bonus Balances'!A$6:A$35,C13,'Bonus Balances'!B$6:B$35,B13,'Bonus Balances'!I$6:I$35,"Ready")=1)),"Conditional: no payment due",IF(Y13&gt;0,"Recover bonus overpayment",IF(P13&gt;0,"Payable",IF(W13&gt;0,"Settled after refund","Paid")))))))</x:f>
      </x:c>
      <x:c r="W13" s="50" t="str">
        <x:f>IF(A13="","",IF(AND(S13="Conditional bonus",COUNTIFS('Bonus Balances'!A$6:A$35,C13,'Bonus Balances'!B$6:B$35,B13,'Bonus Balances'!W$6:W$35,"Valid")=1),ROUND(L13*SUMIFS('Bonus Balances'!R$6:R$35,'Bonus Balances'!A$6:A$35,C13,'Bonus Balances'!B$6:B$35,B13),2),0))</x:f>
      </x:c>
      <x:c r="X13" s="37"/>
      <x:c r="Y13" s="37" t="str">
        <x:f>IF(A13="","",IF(S13="Conditional bonus",ROUND(MAX(0,M13-(L13-W13)-X13),2),0))</x:f>
      </x:c>
    </x:row>
    <x:row r="14" ht="28" customHeight="1">
      <x:c r="A14" s="11"/>
      <x:c r="B14" s="11"/>
      <x:c r="C14" s="11"/>
      <x:c r="D14" s="11"/>
      <x:c r="E14" s="13"/>
      <x:c r="F14" s="15" t="str">
        <x:f>IF(E14="","",E14+60)</x:f>
      </x:c>
      <x:c r="G14" s="13"/>
      <x:c r="H14" s="13"/>
      <x:c r="I14" s="13"/>
      <x:c r="J14" s="11"/>
      <x:c r="K14" s="11"/>
      <x:c r="L14" s="16" t="str">
        <x:f>IF(A14="","",IF(AND(T14="Qualifies",COUNTIFS(B$6:B14,B14,C$6:C14,C14,T$6:T14,"Qualifies")&lt;=4),100,0))</x:f>
      </x:c>
      <x:c r="M14" s="17"/>
      <x:c r="N14" s="17"/>
      <x:c r="O14" s="16" t="str">
        <x:f>IF(A14="","",IF(S14="Legacy meeting terms",MAX(0,M14-N14),0))</x:f>
      </x:c>
      <x:c r="P14" s="16" t="str">
        <x:f>IF(A14="","",IF(S14="Legacy meeting terms",MAX(0,L14-M14),IF(AND(S14="Conditional bonus",COUNTIFS('Bonus Balances'!A$6:A$35,C14,'Bonus Balances'!B$6:B$35,B14,'Bonus Balances'!I$6:I$35,"Ready")=1,COUNTIFS('Bonus Balances'!A$6:A$35,C14,'Bonus Balances'!B$6:B$35,B14,'Bonus Balances'!W$6:W$35,"Valid")=1,M14&gt;=0,M14&lt;=L14,X14&gt;=0,X14&lt;=MAX(0,M14-(L14-W14))),ROUND(MAX(0,L14-W14-M14+X14),2),0)))</x:f>
      </x:c>
      <x:c r="Q14" s="13"/>
      <x:c r="R14" s="11"/>
      <x:c r="S14" s="27"/>
      <x:c r="T14" s="30" t="str">
        <x:f>IF(A14="","",IF(AND(AND(J14="Confirmed",B14&lt;&gt;"",C14&lt;&gt;"",D14&lt;&gt;"",ISNUMBER(E14),ISNUMBER(G14),ISNUMBER(H14),ISNUMBER(I14),K14&lt;&gt;"",R14&lt;&gt;"",G14&gt;=E14,G14&lt;F14,H14&lt;=G14,I14&gt;=G14),OR(S14="Conditional bonus",S14="Legacy meeting terms"),COUNTIF(A$6:A14,A14)=1,COUNTIFS(C$6:C14,C14,D$6:D14,D14)=1,IF(S14="Conditional bonus",COUNTIFS(D$6:D14,D14,S$6:S14,"Conditional bonus")=1,TRUE),IF(S14="Conditional bonus",AND(COUNTIFS('Bonus Balances'!A$6:A$35,C14,'Bonus Balances'!B$6:B$35,B14)=1,SUMIFS('Bonus Balances'!C$6:C$35,'Bonus Balances'!A$6:A$35,C14,'Bonus Balances'!B$6:B$35,B14)=E14,SUMIFS('Bonus Balances'!C$6:C$35,'Bonus Balances'!A$6:A$35,C14,'Bonus Balances'!B$6:B$35,B14)&gt;0,COUNTIFS('Bonus Balances'!A$6:A$35,C14,'Bonus Balances'!B$6:B$35,B14,'Bonus Balances'!E$6:E$35,"&lt;&gt;")=1),TRUE)),"Qualifies","Review / not eligible"))</x:f>
      </x:c>
      <x:c r="U14" s="29" t="str">
        <x:f>IF(AND(L14&gt;0,ISNUMBER(I14)),IF(S14="Legacy meeting terms",WORKDAY(I14,5),IF(COUNTIFS('Bonus Balances'!A$6:A$35,C14,'Bonus Balances'!B$6:B$35,B14,'Bonus Balances'!I$6:I$35,"Ready")=1,WORKDAY(MAX(I14,SUMIFS('Bonus Balances'!G$6:G$35,'Bonus Balances'!A$6:A$35,C14,'Bonus Balances'!B$6:B$35,B14),SUMIFS('Bonus Balances'!Q$6:Q$35,'Bonus Balances'!A$6:A$35,C14,'Bonus Balances'!B$6:B$35,B14)),5),"")),"")</x:f>
      </x:c>
      <x:c r="V14" s="30" t="str">
        <x:f>IF(A14="","",IF(OR(M14&lt;0,M14&gt;L14,X14&lt;0,AND(S14="Legacy meeting terms",X14&lt;&gt;0),AND(S14="Conditional bonus",OR(N14&lt;&gt;0,NOT(COUNTIFS('Bonus Balances'!A$6:A$35,C14,'Bonus Balances'!B$6:B$35,B14,'Bonus Balances'!W$6:W$35,"Valid")=1),X14&gt;MAX(0,M14-(L14-W14)),AND(M14&gt;0,NOT(COUNTIFS('Bonus Balances'!A$6:A$35,C14,'Bonus Balances'!B$6:B$35,B14,'Bonus Balances'!I$6:I$35,"Ready")=1))))),"Review payment / refund reconciliation",IF(L14=0,"Not payable: check eligibility / cap",IF(AND(S14="Conditional bonus",NOT(COUNTIFS('Bonus Balances'!A$6:A$35,C14,'Bonus Balances'!B$6:B$35,B14,'Bonus Balances'!I$6:I$35,"Ready")=1)),"Conditional: no payment due",IF(Y14&gt;0,"Recover bonus overpayment",IF(P14&gt;0,"Payable",IF(W14&gt;0,"Settled after refund","Paid")))))))</x:f>
      </x:c>
      <x:c r="W14" s="50" t="str">
        <x:f>IF(A14="","",IF(AND(S14="Conditional bonus",COUNTIFS('Bonus Balances'!A$6:A$35,C14,'Bonus Balances'!B$6:B$35,B14,'Bonus Balances'!W$6:W$35,"Valid")=1),ROUND(L14*SUMIFS('Bonus Balances'!R$6:R$35,'Bonus Balances'!A$6:A$35,C14,'Bonus Balances'!B$6:B$35,B14),2),0))</x:f>
      </x:c>
      <x:c r="X14" s="37"/>
      <x:c r="Y14" s="37" t="str">
        <x:f>IF(A14="","",IF(S14="Conditional bonus",ROUND(MAX(0,M14-(L14-W14)-X14),2),0))</x:f>
      </x:c>
    </x:row>
    <x:row r="15" ht="28" customHeight="1">
      <x:c r="A15" s="11"/>
      <x:c r="B15" s="11"/>
      <x:c r="C15" s="11"/>
      <x:c r="D15" s="11"/>
      <x:c r="E15" s="13"/>
      <x:c r="F15" s="15" t="str">
        <x:f>IF(E15="","",E15+60)</x:f>
      </x:c>
      <x:c r="G15" s="13"/>
      <x:c r="H15" s="13"/>
      <x:c r="I15" s="13"/>
      <x:c r="J15" s="11"/>
      <x:c r="K15" s="11"/>
      <x:c r="L15" s="16" t="str">
        <x:f>IF(A15="","",IF(AND(T15="Qualifies",COUNTIFS(B$6:B15,B15,C$6:C15,C15,T$6:T15,"Qualifies")&lt;=4),100,0))</x:f>
      </x:c>
      <x:c r="M15" s="17"/>
      <x:c r="N15" s="17"/>
      <x:c r="O15" s="16" t="str">
        <x:f>IF(A15="","",IF(S15="Legacy meeting terms",MAX(0,M15-N15),0))</x:f>
      </x:c>
      <x:c r="P15" s="16" t="str">
        <x:f>IF(A15="","",IF(S15="Legacy meeting terms",MAX(0,L15-M15),IF(AND(S15="Conditional bonus",COUNTIFS('Bonus Balances'!A$6:A$35,C15,'Bonus Balances'!B$6:B$35,B15,'Bonus Balances'!I$6:I$35,"Ready")=1,COUNTIFS('Bonus Balances'!A$6:A$35,C15,'Bonus Balances'!B$6:B$35,B15,'Bonus Balances'!W$6:W$35,"Valid")=1,M15&gt;=0,M15&lt;=L15,X15&gt;=0,X15&lt;=MAX(0,M15-(L15-W15))),ROUND(MAX(0,L15-W15-M15+X15),2),0)))</x:f>
      </x:c>
      <x:c r="Q15" s="13"/>
      <x:c r="R15" s="11"/>
      <x:c r="S15" s="27"/>
      <x:c r="T15" s="30" t="str">
        <x:f>IF(A15="","",IF(AND(AND(J15="Confirmed",B15&lt;&gt;"",C15&lt;&gt;"",D15&lt;&gt;"",ISNUMBER(E15),ISNUMBER(G15),ISNUMBER(H15),ISNUMBER(I15),K15&lt;&gt;"",R15&lt;&gt;"",G15&gt;=E15,G15&lt;F15,H15&lt;=G15,I15&gt;=G15),OR(S15="Conditional bonus",S15="Legacy meeting terms"),COUNTIF(A$6:A15,A15)=1,COUNTIFS(C$6:C15,C15,D$6:D15,D15)=1,IF(S15="Conditional bonus",COUNTIFS(D$6:D15,D15,S$6:S15,"Conditional bonus")=1,TRUE),IF(S15="Conditional bonus",AND(COUNTIFS('Bonus Balances'!A$6:A$35,C15,'Bonus Balances'!B$6:B$35,B15)=1,SUMIFS('Bonus Balances'!C$6:C$35,'Bonus Balances'!A$6:A$35,C15,'Bonus Balances'!B$6:B$35,B15)=E15,SUMIFS('Bonus Balances'!C$6:C$35,'Bonus Balances'!A$6:A$35,C15,'Bonus Balances'!B$6:B$35,B15)&gt;0,COUNTIFS('Bonus Balances'!A$6:A$35,C15,'Bonus Balances'!B$6:B$35,B15,'Bonus Balances'!E$6:E$35,"&lt;&gt;")=1),TRUE)),"Qualifies","Review / not eligible"))</x:f>
      </x:c>
      <x:c r="U15" s="29" t="str">
        <x:f>IF(AND(L15&gt;0,ISNUMBER(I15)),IF(S15="Legacy meeting terms",WORKDAY(I15,5),IF(COUNTIFS('Bonus Balances'!A$6:A$35,C15,'Bonus Balances'!B$6:B$35,B15,'Bonus Balances'!I$6:I$35,"Ready")=1,WORKDAY(MAX(I15,SUMIFS('Bonus Balances'!G$6:G$35,'Bonus Balances'!A$6:A$35,C15,'Bonus Balances'!B$6:B$35,B15),SUMIFS('Bonus Balances'!Q$6:Q$35,'Bonus Balances'!A$6:A$35,C15,'Bonus Balances'!B$6:B$35,B15)),5),"")),"")</x:f>
      </x:c>
      <x:c r="V15" s="30" t="str">
        <x:f>IF(A15="","",IF(OR(M15&lt;0,M15&gt;L15,X15&lt;0,AND(S15="Legacy meeting terms",X15&lt;&gt;0),AND(S15="Conditional bonus",OR(N15&lt;&gt;0,NOT(COUNTIFS('Bonus Balances'!A$6:A$35,C15,'Bonus Balances'!B$6:B$35,B15,'Bonus Balances'!W$6:W$35,"Valid")=1),X15&gt;MAX(0,M15-(L15-W15)),AND(M15&gt;0,NOT(COUNTIFS('Bonus Balances'!A$6:A$35,C15,'Bonus Balances'!B$6:B$35,B15,'Bonus Balances'!I$6:I$35,"Ready")=1))))),"Review payment / refund reconciliation",IF(L15=0,"Not payable: check eligibility / cap",IF(AND(S15="Conditional bonus",NOT(COUNTIFS('Bonus Balances'!A$6:A$35,C15,'Bonus Balances'!B$6:B$35,B15,'Bonus Balances'!I$6:I$35,"Ready")=1)),"Conditional: no payment due",IF(Y15&gt;0,"Recover bonus overpayment",IF(P15&gt;0,"Payable",IF(W15&gt;0,"Settled after refund","Paid")))))))</x:f>
      </x:c>
      <x:c r="W15" s="50" t="str">
        <x:f>IF(A15="","",IF(AND(S15="Conditional bonus",COUNTIFS('Bonus Balances'!A$6:A$35,C15,'Bonus Balances'!B$6:B$35,B15,'Bonus Balances'!W$6:W$35,"Valid")=1),ROUND(L15*SUMIFS('Bonus Balances'!R$6:R$35,'Bonus Balances'!A$6:A$35,C15,'Bonus Balances'!B$6:B$35,B15),2),0))</x:f>
      </x:c>
      <x:c r="X15" s="37"/>
      <x:c r="Y15" s="37" t="str">
        <x:f>IF(A15="","",IF(S15="Conditional bonus",ROUND(MAX(0,M15-(L15-W15)-X15),2),0))</x:f>
      </x:c>
    </x:row>
    <x:row r="16" ht="28" customHeight="1">
      <x:c r="A16" s="11"/>
      <x:c r="B16" s="11"/>
      <x:c r="C16" s="11"/>
      <x:c r="D16" s="11"/>
      <x:c r="E16" s="13"/>
      <x:c r="F16" s="15" t="str">
        <x:f>IF(E16="","",E16+60)</x:f>
      </x:c>
      <x:c r="G16" s="13"/>
      <x:c r="H16" s="13"/>
      <x:c r="I16" s="13"/>
      <x:c r="J16" s="11"/>
      <x:c r="K16" s="11"/>
      <x:c r="L16" s="16" t="str">
        <x:f>IF(A16="","",IF(AND(T16="Qualifies",COUNTIFS(B$6:B16,B16,C$6:C16,C16,T$6:T16,"Qualifies")&lt;=4),100,0))</x:f>
      </x:c>
      <x:c r="M16" s="17"/>
      <x:c r="N16" s="17"/>
      <x:c r="O16" s="16" t="str">
        <x:f>IF(A16="","",IF(S16="Legacy meeting terms",MAX(0,M16-N16),0))</x:f>
      </x:c>
      <x:c r="P16" s="16" t="str">
        <x:f>IF(A16="","",IF(S16="Legacy meeting terms",MAX(0,L16-M16),IF(AND(S16="Conditional bonus",COUNTIFS('Bonus Balances'!A$6:A$35,C16,'Bonus Balances'!B$6:B$35,B16,'Bonus Balances'!I$6:I$35,"Ready")=1,COUNTIFS('Bonus Balances'!A$6:A$35,C16,'Bonus Balances'!B$6:B$35,B16,'Bonus Balances'!W$6:W$35,"Valid")=1,M16&gt;=0,M16&lt;=L16,X16&gt;=0,X16&lt;=MAX(0,M16-(L16-W16))),ROUND(MAX(0,L16-W16-M16+X16),2),0)))</x:f>
      </x:c>
      <x:c r="Q16" s="13"/>
      <x:c r="R16" s="11"/>
      <x:c r="S16" s="27"/>
      <x:c r="T16" s="30" t="str">
        <x:f>IF(A16="","",IF(AND(AND(J16="Confirmed",B16&lt;&gt;"",C16&lt;&gt;"",D16&lt;&gt;"",ISNUMBER(E16),ISNUMBER(G16),ISNUMBER(H16),ISNUMBER(I16),K16&lt;&gt;"",R16&lt;&gt;"",G16&gt;=E16,G16&lt;F16,H16&lt;=G16,I16&gt;=G16),OR(S16="Conditional bonus",S16="Legacy meeting terms"),COUNTIF(A$6:A16,A16)=1,COUNTIFS(C$6:C16,C16,D$6:D16,D16)=1,IF(S16="Conditional bonus",COUNTIFS(D$6:D16,D16,S$6:S16,"Conditional bonus")=1,TRUE),IF(S16="Conditional bonus",AND(COUNTIFS('Bonus Balances'!A$6:A$35,C16,'Bonus Balances'!B$6:B$35,B16)=1,SUMIFS('Bonus Balances'!C$6:C$35,'Bonus Balances'!A$6:A$35,C16,'Bonus Balances'!B$6:B$35,B16)=E16,SUMIFS('Bonus Balances'!C$6:C$35,'Bonus Balances'!A$6:A$35,C16,'Bonus Balances'!B$6:B$35,B16)&gt;0,COUNTIFS('Bonus Balances'!A$6:A$35,C16,'Bonus Balances'!B$6:B$35,B16,'Bonus Balances'!E$6:E$35,"&lt;&gt;")=1),TRUE)),"Qualifies","Review / not eligible"))</x:f>
      </x:c>
      <x:c r="U16" s="29" t="str">
        <x:f>IF(AND(L16&gt;0,ISNUMBER(I16)),IF(S16="Legacy meeting terms",WORKDAY(I16,5),IF(COUNTIFS('Bonus Balances'!A$6:A$35,C16,'Bonus Balances'!B$6:B$35,B16,'Bonus Balances'!I$6:I$35,"Ready")=1,WORKDAY(MAX(I16,SUMIFS('Bonus Balances'!G$6:G$35,'Bonus Balances'!A$6:A$35,C16,'Bonus Balances'!B$6:B$35,B16),SUMIFS('Bonus Balances'!Q$6:Q$35,'Bonus Balances'!A$6:A$35,C16,'Bonus Balances'!B$6:B$35,B16)),5),"")),"")</x:f>
      </x:c>
      <x:c r="V16" s="30" t="str">
        <x:f>IF(A16="","",IF(OR(M16&lt;0,M16&gt;L16,X16&lt;0,AND(S16="Legacy meeting terms",X16&lt;&gt;0),AND(S16="Conditional bonus",OR(N16&lt;&gt;0,NOT(COUNTIFS('Bonus Balances'!A$6:A$35,C16,'Bonus Balances'!B$6:B$35,B16,'Bonus Balances'!W$6:W$35,"Valid")=1),X16&gt;MAX(0,M16-(L16-W16)),AND(M16&gt;0,NOT(COUNTIFS('Bonus Balances'!A$6:A$35,C16,'Bonus Balances'!B$6:B$35,B16,'Bonus Balances'!I$6:I$35,"Ready")=1))))),"Review payment / refund reconciliation",IF(L16=0,"Not payable: check eligibility / cap",IF(AND(S16="Conditional bonus",NOT(COUNTIFS('Bonus Balances'!A$6:A$35,C16,'Bonus Balances'!B$6:B$35,B16,'Bonus Balances'!I$6:I$35,"Ready")=1)),"Conditional: no payment due",IF(Y16&gt;0,"Recover bonus overpayment",IF(P16&gt;0,"Payable",IF(W16&gt;0,"Settled after refund","Paid")))))))</x:f>
      </x:c>
      <x:c r="W16" s="50" t="str">
        <x:f>IF(A16="","",IF(AND(S16="Conditional bonus",COUNTIFS('Bonus Balances'!A$6:A$35,C16,'Bonus Balances'!B$6:B$35,B16,'Bonus Balances'!W$6:W$35,"Valid")=1),ROUND(L16*SUMIFS('Bonus Balances'!R$6:R$35,'Bonus Balances'!A$6:A$35,C16,'Bonus Balances'!B$6:B$35,B16),2),0))</x:f>
      </x:c>
      <x:c r="X16" s="37"/>
      <x:c r="Y16" s="37" t="str">
        <x:f>IF(A16="","",IF(S16="Conditional bonus",ROUND(MAX(0,M16-(L16-W16)-X16),2),0))</x:f>
      </x:c>
    </x:row>
    <x:row r="17" ht="28" customHeight="1">
      <x:c r="A17" s="11"/>
      <x:c r="B17" s="11"/>
      <x:c r="C17" s="11"/>
      <x:c r="D17" s="11"/>
      <x:c r="E17" s="13"/>
      <x:c r="F17" s="15" t="str">
        <x:f>IF(E17="","",E17+60)</x:f>
      </x:c>
      <x:c r="G17" s="13"/>
      <x:c r="H17" s="13"/>
      <x:c r="I17" s="13"/>
      <x:c r="J17" s="11"/>
      <x:c r="K17" s="11"/>
      <x:c r="L17" s="16" t="str">
        <x:f>IF(A17="","",IF(AND(T17="Qualifies",COUNTIFS(B$6:B17,B17,C$6:C17,C17,T$6:T17,"Qualifies")&lt;=4),100,0))</x:f>
      </x:c>
      <x:c r="M17" s="17"/>
      <x:c r="N17" s="17"/>
      <x:c r="O17" s="16" t="str">
        <x:f>IF(A17="","",IF(S17="Legacy meeting terms",MAX(0,M17-N17),0))</x:f>
      </x:c>
      <x:c r="P17" s="16" t="str">
        <x:f>IF(A17="","",IF(S17="Legacy meeting terms",MAX(0,L17-M17),IF(AND(S17="Conditional bonus",COUNTIFS('Bonus Balances'!A$6:A$35,C17,'Bonus Balances'!B$6:B$35,B17,'Bonus Balances'!I$6:I$35,"Ready")=1,COUNTIFS('Bonus Balances'!A$6:A$35,C17,'Bonus Balances'!B$6:B$35,B17,'Bonus Balances'!W$6:W$35,"Valid")=1,M17&gt;=0,M17&lt;=L17,X17&gt;=0,X17&lt;=MAX(0,M17-(L17-W17))),ROUND(MAX(0,L17-W17-M17+X17),2),0)))</x:f>
      </x:c>
      <x:c r="Q17" s="13"/>
      <x:c r="R17" s="11"/>
      <x:c r="S17" s="27"/>
      <x:c r="T17" s="30" t="str">
        <x:f>IF(A17="","",IF(AND(AND(J17="Confirmed",B17&lt;&gt;"",C17&lt;&gt;"",D17&lt;&gt;"",ISNUMBER(E17),ISNUMBER(G17),ISNUMBER(H17),ISNUMBER(I17),K17&lt;&gt;"",R17&lt;&gt;"",G17&gt;=E17,G17&lt;F17,H17&lt;=G17,I17&gt;=G17),OR(S17="Conditional bonus",S17="Legacy meeting terms"),COUNTIF(A$6:A17,A17)=1,COUNTIFS(C$6:C17,C17,D$6:D17,D17)=1,IF(S17="Conditional bonus",COUNTIFS(D$6:D17,D17,S$6:S17,"Conditional bonus")=1,TRUE),IF(S17="Conditional bonus",AND(COUNTIFS('Bonus Balances'!A$6:A$35,C17,'Bonus Balances'!B$6:B$35,B17)=1,SUMIFS('Bonus Balances'!C$6:C$35,'Bonus Balances'!A$6:A$35,C17,'Bonus Balances'!B$6:B$35,B17)=E17,SUMIFS('Bonus Balances'!C$6:C$35,'Bonus Balances'!A$6:A$35,C17,'Bonus Balances'!B$6:B$35,B17)&gt;0,COUNTIFS('Bonus Balances'!A$6:A$35,C17,'Bonus Balances'!B$6:B$35,B17,'Bonus Balances'!E$6:E$35,"&lt;&gt;")=1),TRUE)),"Qualifies","Review / not eligible"))</x:f>
      </x:c>
      <x:c r="U17" s="29" t="str">
        <x:f>IF(AND(L17&gt;0,ISNUMBER(I17)),IF(S17="Legacy meeting terms",WORKDAY(I17,5),IF(COUNTIFS('Bonus Balances'!A$6:A$35,C17,'Bonus Balances'!B$6:B$35,B17,'Bonus Balances'!I$6:I$35,"Ready")=1,WORKDAY(MAX(I17,SUMIFS('Bonus Balances'!G$6:G$35,'Bonus Balances'!A$6:A$35,C17,'Bonus Balances'!B$6:B$35,B17),SUMIFS('Bonus Balances'!Q$6:Q$35,'Bonus Balances'!A$6:A$35,C17,'Bonus Balances'!B$6:B$35,B17)),5),"")),"")</x:f>
      </x:c>
      <x:c r="V17" s="30" t="str">
        <x:f>IF(A17="","",IF(OR(M17&lt;0,M17&gt;L17,X17&lt;0,AND(S17="Legacy meeting terms",X17&lt;&gt;0),AND(S17="Conditional bonus",OR(N17&lt;&gt;0,NOT(COUNTIFS('Bonus Balances'!A$6:A$35,C17,'Bonus Balances'!B$6:B$35,B17,'Bonus Balances'!W$6:W$35,"Valid")=1),X17&gt;MAX(0,M17-(L17-W17)),AND(M17&gt;0,NOT(COUNTIFS('Bonus Balances'!A$6:A$35,C17,'Bonus Balances'!B$6:B$35,B17,'Bonus Balances'!I$6:I$35,"Ready")=1))))),"Review payment / refund reconciliation",IF(L17=0,"Not payable: check eligibility / cap",IF(AND(S17="Conditional bonus",NOT(COUNTIFS('Bonus Balances'!A$6:A$35,C17,'Bonus Balances'!B$6:B$35,B17,'Bonus Balances'!I$6:I$35,"Ready")=1)),"Conditional: no payment due",IF(Y17&gt;0,"Recover bonus overpayment",IF(P17&gt;0,"Payable",IF(W17&gt;0,"Settled after refund","Paid")))))))</x:f>
      </x:c>
      <x:c r="W17" s="50" t="str">
        <x:f>IF(A17="","",IF(AND(S17="Conditional bonus",COUNTIFS('Bonus Balances'!A$6:A$35,C17,'Bonus Balances'!B$6:B$35,B17,'Bonus Balances'!W$6:W$35,"Valid")=1),ROUND(L17*SUMIFS('Bonus Balances'!R$6:R$35,'Bonus Balances'!A$6:A$35,C17,'Bonus Balances'!B$6:B$35,B17),2),0))</x:f>
      </x:c>
      <x:c r="X17" s="37"/>
      <x:c r="Y17" s="37" t="str">
        <x:f>IF(A17="","",IF(S17="Conditional bonus",ROUND(MAX(0,M17-(L17-W17)-X17),2),0))</x:f>
      </x:c>
    </x:row>
    <x:row r="18" ht="28" customHeight="1">
      <x:c r="A18" s="11"/>
      <x:c r="B18" s="11"/>
      <x:c r="C18" s="11"/>
      <x:c r="D18" s="11"/>
      <x:c r="E18" s="13"/>
      <x:c r="F18" s="15" t="str">
        <x:f>IF(E18="","",E18+60)</x:f>
      </x:c>
      <x:c r="G18" s="13"/>
      <x:c r="H18" s="13"/>
      <x:c r="I18" s="13"/>
      <x:c r="J18" s="11"/>
      <x:c r="K18" s="11"/>
      <x:c r="L18" s="16" t="str">
        <x:f>IF(A18="","",IF(AND(T18="Qualifies",COUNTIFS(B$6:B18,B18,C$6:C18,C18,T$6:T18,"Qualifies")&lt;=4),100,0))</x:f>
      </x:c>
      <x:c r="M18" s="17"/>
      <x:c r="N18" s="17"/>
      <x:c r="O18" s="16" t="str">
        <x:f>IF(A18="","",IF(S18="Legacy meeting terms",MAX(0,M18-N18),0))</x:f>
      </x:c>
      <x:c r="P18" s="16" t="str">
        <x:f>IF(A18="","",IF(S18="Legacy meeting terms",MAX(0,L18-M18),IF(AND(S18="Conditional bonus",COUNTIFS('Bonus Balances'!A$6:A$35,C18,'Bonus Balances'!B$6:B$35,B18,'Bonus Balances'!I$6:I$35,"Ready")=1,COUNTIFS('Bonus Balances'!A$6:A$35,C18,'Bonus Balances'!B$6:B$35,B18,'Bonus Balances'!W$6:W$35,"Valid")=1,M18&gt;=0,M18&lt;=L18,X18&gt;=0,X18&lt;=MAX(0,M18-(L18-W18))),ROUND(MAX(0,L18-W18-M18+X18),2),0)))</x:f>
      </x:c>
      <x:c r="Q18" s="13"/>
      <x:c r="R18" s="11"/>
      <x:c r="S18" s="27"/>
      <x:c r="T18" s="30" t="str">
        <x:f>IF(A18="","",IF(AND(AND(J18="Confirmed",B18&lt;&gt;"",C18&lt;&gt;"",D18&lt;&gt;"",ISNUMBER(E18),ISNUMBER(G18),ISNUMBER(H18),ISNUMBER(I18),K18&lt;&gt;"",R18&lt;&gt;"",G18&gt;=E18,G18&lt;F18,H18&lt;=G18,I18&gt;=G18),OR(S18="Conditional bonus",S18="Legacy meeting terms"),COUNTIF(A$6:A18,A18)=1,COUNTIFS(C$6:C18,C18,D$6:D18,D18)=1,IF(S18="Conditional bonus",COUNTIFS(D$6:D18,D18,S$6:S18,"Conditional bonus")=1,TRUE),IF(S18="Conditional bonus",AND(COUNTIFS('Bonus Balances'!A$6:A$35,C18,'Bonus Balances'!B$6:B$35,B18)=1,SUMIFS('Bonus Balances'!C$6:C$35,'Bonus Balances'!A$6:A$35,C18,'Bonus Balances'!B$6:B$35,B18)=E18,SUMIFS('Bonus Balances'!C$6:C$35,'Bonus Balances'!A$6:A$35,C18,'Bonus Balances'!B$6:B$35,B18)&gt;0,COUNTIFS('Bonus Balances'!A$6:A$35,C18,'Bonus Balances'!B$6:B$35,B18,'Bonus Balances'!E$6:E$35,"&lt;&gt;")=1),TRUE)),"Qualifies","Review / not eligible"))</x:f>
      </x:c>
      <x:c r="U18" s="29" t="str">
        <x:f>IF(AND(L18&gt;0,ISNUMBER(I18)),IF(S18="Legacy meeting terms",WORKDAY(I18,5),IF(COUNTIFS('Bonus Balances'!A$6:A$35,C18,'Bonus Balances'!B$6:B$35,B18,'Bonus Balances'!I$6:I$35,"Ready")=1,WORKDAY(MAX(I18,SUMIFS('Bonus Balances'!G$6:G$35,'Bonus Balances'!A$6:A$35,C18,'Bonus Balances'!B$6:B$35,B18),SUMIFS('Bonus Balances'!Q$6:Q$35,'Bonus Balances'!A$6:A$35,C18,'Bonus Balances'!B$6:B$35,B18)),5),"")),"")</x:f>
      </x:c>
      <x:c r="V18" s="30" t="str">
        <x:f>IF(A18="","",IF(OR(M18&lt;0,M18&gt;L18,X18&lt;0,AND(S18="Legacy meeting terms",X18&lt;&gt;0),AND(S18="Conditional bonus",OR(N18&lt;&gt;0,NOT(COUNTIFS('Bonus Balances'!A$6:A$35,C18,'Bonus Balances'!B$6:B$35,B18,'Bonus Balances'!W$6:W$35,"Valid")=1),X18&gt;MAX(0,M18-(L18-W18)),AND(M18&gt;0,NOT(COUNTIFS('Bonus Balances'!A$6:A$35,C18,'Bonus Balances'!B$6:B$35,B18,'Bonus Balances'!I$6:I$35,"Ready")=1))))),"Review payment / refund reconciliation",IF(L18=0,"Not payable: check eligibility / cap",IF(AND(S18="Conditional bonus",NOT(COUNTIFS('Bonus Balances'!A$6:A$35,C18,'Bonus Balances'!B$6:B$35,B18,'Bonus Balances'!I$6:I$35,"Ready")=1)),"Conditional: no payment due",IF(Y18&gt;0,"Recover bonus overpayment",IF(P18&gt;0,"Payable",IF(W18&gt;0,"Settled after refund","Paid")))))))</x:f>
      </x:c>
      <x:c r="W18" s="50" t="str">
        <x:f>IF(A18="","",IF(AND(S18="Conditional bonus",COUNTIFS('Bonus Balances'!A$6:A$35,C18,'Bonus Balances'!B$6:B$35,B18,'Bonus Balances'!W$6:W$35,"Valid")=1),ROUND(L18*SUMIFS('Bonus Balances'!R$6:R$35,'Bonus Balances'!A$6:A$35,C18,'Bonus Balances'!B$6:B$35,B18),2),0))</x:f>
      </x:c>
      <x:c r="X18" s="37"/>
      <x:c r="Y18" s="37" t="str">
        <x:f>IF(A18="","",IF(S18="Conditional bonus",ROUND(MAX(0,M18-(L18-W18)-X18),2),0))</x:f>
      </x:c>
    </x:row>
    <x:row r="19" ht="28" customHeight="1">
      <x:c r="A19" s="11"/>
      <x:c r="B19" s="11"/>
      <x:c r="C19" s="11"/>
      <x:c r="D19" s="11"/>
      <x:c r="E19" s="13"/>
      <x:c r="F19" s="15" t="str">
        <x:f>IF(E19="","",E19+60)</x:f>
      </x:c>
      <x:c r="G19" s="13"/>
      <x:c r="H19" s="13"/>
      <x:c r="I19" s="13"/>
      <x:c r="J19" s="11"/>
      <x:c r="K19" s="11"/>
      <x:c r="L19" s="16" t="str">
        <x:f>IF(A19="","",IF(AND(T19="Qualifies",COUNTIFS(B$6:B19,B19,C$6:C19,C19,T$6:T19,"Qualifies")&lt;=4),100,0))</x:f>
      </x:c>
      <x:c r="M19" s="17"/>
      <x:c r="N19" s="17"/>
      <x:c r="O19" s="16" t="str">
        <x:f>IF(A19="","",IF(S19="Legacy meeting terms",MAX(0,M19-N19),0))</x:f>
      </x:c>
      <x:c r="P19" s="16" t="str">
        <x:f>IF(A19="","",IF(S19="Legacy meeting terms",MAX(0,L19-M19),IF(AND(S19="Conditional bonus",COUNTIFS('Bonus Balances'!A$6:A$35,C19,'Bonus Balances'!B$6:B$35,B19,'Bonus Balances'!I$6:I$35,"Ready")=1,COUNTIFS('Bonus Balances'!A$6:A$35,C19,'Bonus Balances'!B$6:B$35,B19,'Bonus Balances'!W$6:W$35,"Valid")=1,M19&gt;=0,M19&lt;=L19,X19&gt;=0,X19&lt;=MAX(0,M19-(L19-W19))),ROUND(MAX(0,L19-W19-M19+X19),2),0)))</x:f>
      </x:c>
      <x:c r="Q19" s="13"/>
      <x:c r="R19" s="11"/>
      <x:c r="S19" s="27"/>
      <x:c r="T19" s="30" t="str">
        <x:f>IF(A19="","",IF(AND(AND(J19="Confirmed",B19&lt;&gt;"",C19&lt;&gt;"",D19&lt;&gt;"",ISNUMBER(E19),ISNUMBER(G19),ISNUMBER(H19),ISNUMBER(I19),K19&lt;&gt;"",R19&lt;&gt;"",G19&gt;=E19,G19&lt;F19,H19&lt;=G19,I19&gt;=G19),OR(S19="Conditional bonus",S19="Legacy meeting terms"),COUNTIF(A$6:A19,A19)=1,COUNTIFS(C$6:C19,C19,D$6:D19,D19)=1,IF(S19="Conditional bonus",COUNTIFS(D$6:D19,D19,S$6:S19,"Conditional bonus")=1,TRUE),IF(S19="Conditional bonus",AND(COUNTIFS('Bonus Balances'!A$6:A$35,C19,'Bonus Balances'!B$6:B$35,B19)=1,SUMIFS('Bonus Balances'!C$6:C$35,'Bonus Balances'!A$6:A$35,C19,'Bonus Balances'!B$6:B$35,B19)=E19,SUMIFS('Bonus Balances'!C$6:C$35,'Bonus Balances'!A$6:A$35,C19,'Bonus Balances'!B$6:B$35,B19)&gt;0,COUNTIFS('Bonus Balances'!A$6:A$35,C19,'Bonus Balances'!B$6:B$35,B19,'Bonus Balances'!E$6:E$35,"&lt;&gt;")=1),TRUE)),"Qualifies","Review / not eligible"))</x:f>
      </x:c>
      <x:c r="U19" s="29" t="str">
        <x:f>IF(AND(L19&gt;0,ISNUMBER(I19)),IF(S19="Legacy meeting terms",WORKDAY(I19,5),IF(COUNTIFS('Bonus Balances'!A$6:A$35,C19,'Bonus Balances'!B$6:B$35,B19,'Bonus Balances'!I$6:I$35,"Ready")=1,WORKDAY(MAX(I19,SUMIFS('Bonus Balances'!G$6:G$35,'Bonus Balances'!A$6:A$35,C19,'Bonus Balances'!B$6:B$35,B19),SUMIFS('Bonus Balances'!Q$6:Q$35,'Bonus Balances'!A$6:A$35,C19,'Bonus Balances'!B$6:B$35,B19)),5),"")),"")</x:f>
      </x:c>
      <x:c r="V19" s="30" t="str">
        <x:f>IF(A19="","",IF(OR(M19&lt;0,M19&gt;L19,X19&lt;0,AND(S19="Legacy meeting terms",X19&lt;&gt;0),AND(S19="Conditional bonus",OR(N19&lt;&gt;0,NOT(COUNTIFS('Bonus Balances'!A$6:A$35,C19,'Bonus Balances'!B$6:B$35,B19,'Bonus Balances'!W$6:W$35,"Valid")=1),X19&gt;MAX(0,M19-(L19-W19)),AND(M19&gt;0,NOT(COUNTIFS('Bonus Balances'!A$6:A$35,C19,'Bonus Balances'!B$6:B$35,B19,'Bonus Balances'!I$6:I$35,"Ready")=1))))),"Review payment / refund reconciliation",IF(L19=0,"Not payable: check eligibility / cap",IF(AND(S19="Conditional bonus",NOT(COUNTIFS('Bonus Balances'!A$6:A$35,C19,'Bonus Balances'!B$6:B$35,B19,'Bonus Balances'!I$6:I$35,"Ready")=1)),"Conditional: no payment due",IF(Y19&gt;0,"Recover bonus overpayment",IF(P19&gt;0,"Payable",IF(W19&gt;0,"Settled after refund","Paid")))))))</x:f>
      </x:c>
      <x:c r="W19" s="50" t="str">
        <x:f>IF(A19="","",IF(AND(S19="Conditional bonus",COUNTIFS('Bonus Balances'!A$6:A$35,C19,'Bonus Balances'!B$6:B$35,B19,'Bonus Balances'!W$6:W$35,"Valid")=1),ROUND(L19*SUMIFS('Bonus Balances'!R$6:R$35,'Bonus Balances'!A$6:A$35,C19,'Bonus Balances'!B$6:B$35,B19),2),0))</x:f>
      </x:c>
      <x:c r="X19" s="37"/>
      <x:c r="Y19" s="37" t="str">
        <x:f>IF(A19="","",IF(S19="Conditional bonus",ROUND(MAX(0,M19-(L19-W19)-X19),2),0))</x:f>
      </x:c>
    </x:row>
    <x:row r="20" ht="28" customHeight="1">
      <x:c r="A20" s="11"/>
      <x:c r="B20" s="11"/>
      <x:c r="C20" s="11"/>
      <x:c r="D20" s="11"/>
      <x:c r="E20" s="13"/>
      <x:c r="F20" s="15" t="str">
        <x:f>IF(E20="","",E20+60)</x:f>
      </x:c>
      <x:c r="G20" s="13"/>
      <x:c r="H20" s="13"/>
      <x:c r="I20" s="13"/>
      <x:c r="J20" s="11"/>
      <x:c r="K20" s="11"/>
      <x:c r="L20" s="16" t="str">
        <x:f>IF(A20="","",IF(AND(T20="Qualifies",COUNTIFS(B$6:B20,B20,C$6:C20,C20,T$6:T20,"Qualifies")&lt;=4),100,0))</x:f>
      </x:c>
      <x:c r="M20" s="17"/>
      <x:c r="N20" s="17"/>
      <x:c r="O20" s="16" t="str">
        <x:f>IF(A20="","",IF(S20="Legacy meeting terms",MAX(0,M20-N20),0))</x:f>
      </x:c>
      <x:c r="P20" s="16" t="str">
        <x:f>IF(A20="","",IF(S20="Legacy meeting terms",MAX(0,L20-M20),IF(AND(S20="Conditional bonus",COUNTIFS('Bonus Balances'!A$6:A$35,C20,'Bonus Balances'!B$6:B$35,B20,'Bonus Balances'!I$6:I$35,"Ready")=1,COUNTIFS('Bonus Balances'!A$6:A$35,C20,'Bonus Balances'!B$6:B$35,B20,'Bonus Balances'!W$6:W$35,"Valid")=1,M20&gt;=0,M20&lt;=L20,X20&gt;=0,X20&lt;=MAX(0,M20-(L20-W20))),ROUND(MAX(0,L20-W20-M20+X20),2),0)))</x:f>
      </x:c>
      <x:c r="Q20" s="13"/>
      <x:c r="R20" s="11"/>
      <x:c r="S20" s="27"/>
      <x:c r="T20" s="30" t="str">
        <x:f>IF(A20="","",IF(AND(AND(J20="Confirmed",B20&lt;&gt;"",C20&lt;&gt;"",D20&lt;&gt;"",ISNUMBER(E20),ISNUMBER(G20),ISNUMBER(H20),ISNUMBER(I20),K20&lt;&gt;"",R20&lt;&gt;"",G20&gt;=E20,G20&lt;F20,H20&lt;=G20,I20&gt;=G20),OR(S20="Conditional bonus",S20="Legacy meeting terms"),COUNTIF(A$6:A20,A20)=1,COUNTIFS(C$6:C20,C20,D$6:D20,D20)=1,IF(S20="Conditional bonus",COUNTIFS(D$6:D20,D20,S$6:S20,"Conditional bonus")=1,TRUE),IF(S20="Conditional bonus",AND(COUNTIFS('Bonus Balances'!A$6:A$35,C20,'Bonus Balances'!B$6:B$35,B20)=1,SUMIFS('Bonus Balances'!C$6:C$35,'Bonus Balances'!A$6:A$35,C20,'Bonus Balances'!B$6:B$35,B20)=E20,SUMIFS('Bonus Balances'!C$6:C$35,'Bonus Balances'!A$6:A$35,C20,'Bonus Balances'!B$6:B$35,B20)&gt;0,COUNTIFS('Bonus Balances'!A$6:A$35,C20,'Bonus Balances'!B$6:B$35,B20,'Bonus Balances'!E$6:E$35,"&lt;&gt;")=1),TRUE)),"Qualifies","Review / not eligible"))</x:f>
      </x:c>
      <x:c r="U20" s="29" t="str">
        <x:f>IF(AND(L20&gt;0,ISNUMBER(I20)),IF(S20="Legacy meeting terms",WORKDAY(I20,5),IF(COUNTIFS('Bonus Balances'!A$6:A$35,C20,'Bonus Balances'!B$6:B$35,B20,'Bonus Balances'!I$6:I$35,"Ready")=1,WORKDAY(MAX(I20,SUMIFS('Bonus Balances'!G$6:G$35,'Bonus Balances'!A$6:A$35,C20,'Bonus Balances'!B$6:B$35,B20),SUMIFS('Bonus Balances'!Q$6:Q$35,'Bonus Balances'!A$6:A$35,C20,'Bonus Balances'!B$6:B$35,B20)),5),"")),"")</x:f>
      </x:c>
      <x:c r="V20" s="30" t="str">
        <x:f>IF(A20="","",IF(OR(M20&lt;0,M20&gt;L20,X20&lt;0,AND(S20="Legacy meeting terms",X20&lt;&gt;0),AND(S20="Conditional bonus",OR(N20&lt;&gt;0,NOT(COUNTIFS('Bonus Balances'!A$6:A$35,C20,'Bonus Balances'!B$6:B$35,B20,'Bonus Balances'!W$6:W$35,"Valid")=1),X20&gt;MAX(0,M20-(L20-W20)),AND(M20&gt;0,NOT(COUNTIFS('Bonus Balances'!A$6:A$35,C20,'Bonus Balances'!B$6:B$35,B20,'Bonus Balances'!I$6:I$35,"Ready")=1))))),"Review payment / refund reconciliation",IF(L20=0,"Not payable: check eligibility / cap",IF(AND(S20="Conditional bonus",NOT(COUNTIFS('Bonus Balances'!A$6:A$35,C20,'Bonus Balances'!B$6:B$35,B20,'Bonus Balances'!I$6:I$35,"Ready")=1)),"Conditional: no payment due",IF(Y20&gt;0,"Recover bonus overpayment",IF(P20&gt;0,"Payable",IF(W20&gt;0,"Settled after refund","Paid")))))))</x:f>
      </x:c>
      <x:c r="W20" s="50" t="str">
        <x:f>IF(A20="","",IF(AND(S20="Conditional bonus",COUNTIFS('Bonus Balances'!A$6:A$35,C20,'Bonus Balances'!B$6:B$35,B20,'Bonus Balances'!W$6:W$35,"Valid")=1),ROUND(L20*SUMIFS('Bonus Balances'!R$6:R$35,'Bonus Balances'!A$6:A$35,C20,'Bonus Balances'!B$6:B$35,B20),2),0))</x:f>
      </x:c>
      <x:c r="X20" s="37"/>
      <x:c r="Y20" s="37" t="str">
        <x:f>IF(A20="","",IF(S20="Conditional bonus",ROUND(MAX(0,M20-(L20-W20)-X20),2),0))</x:f>
      </x:c>
    </x:row>
    <x:row r="21" ht="28" customHeight="1">
      <x:c r="A21" s="11"/>
      <x:c r="B21" s="11"/>
      <x:c r="C21" s="11"/>
      <x:c r="D21" s="11"/>
      <x:c r="E21" s="13"/>
      <x:c r="F21" s="15" t="str">
        <x:f>IF(E21="","",E21+60)</x:f>
      </x:c>
      <x:c r="G21" s="13"/>
      <x:c r="H21" s="13"/>
      <x:c r="I21" s="13"/>
      <x:c r="J21" s="11"/>
      <x:c r="K21" s="11"/>
      <x:c r="L21" s="16" t="str">
        <x:f>IF(A21="","",IF(AND(T21="Qualifies",COUNTIFS(B$6:B21,B21,C$6:C21,C21,T$6:T21,"Qualifies")&lt;=4),100,0))</x:f>
      </x:c>
      <x:c r="M21" s="17"/>
      <x:c r="N21" s="17"/>
      <x:c r="O21" s="16" t="str">
        <x:f>IF(A21="","",IF(S21="Legacy meeting terms",MAX(0,M21-N21),0))</x:f>
      </x:c>
      <x:c r="P21" s="16" t="str">
        <x:f>IF(A21="","",IF(S21="Legacy meeting terms",MAX(0,L21-M21),IF(AND(S21="Conditional bonus",COUNTIFS('Bonus Balances'!A$6:A$35,C21,'Bonus Balances'!B$6:B$35,B21,'Bonus Balances'!I$6:I$35,"Ready")=1,COUNTIFS('Bonus Balances'!A$6:A$35,C21,'Bonus Balances'!B$6:B$35,B21,'Bonus Balances'!W$6:W$35,"Valid")=1,M21&gt;=0,M21&lt;=L21,X21&gt;=0,X21&lt;=MAX(0,M21-(L21-W21))),ROUND(MAX(0,L21-W21-M21+X21),2),0)))</x:f>
      </x:c>
      <x:c r="Q21" s="13"/>
      <x:c r="R21" s="11"/>
      <x:c r="S21" s="27"/>
      <x:c r="T21" s="30" t="str">
        <x:f>IF(A21="","",IF(AND(AND(J21="Confirmed",B21&lt;&gt;"",C21&lt;&gt;"",D21&lt;&gt;"",ISNUMBER(E21),ISNUMBER(G21),ISNUMBER(H21),ISNUMBER(I21),K21&lt;&gt;"",R21&lt;&gt;"",G21&gt;=E21,G21&lt;F21,H21&lt;=G21,I21&gt;=G21),OR(S21="Conditional bonus",S21="Legacy meeting terms"),COUNTIF(A$6:A21,A21)=1,COUNTIFS(C$6:C21,C21,D$6:D21,D21)=1,IF(S21="Conditional bonus",COUNTIFS(D$6:D21,D21,S$6:S21,"Conditional bonus")=1,TRUE),IF(S21="Conditional bonus",AND(COUNTIFS('Bonus Balances'!A$6:A$35,C21,'Bonus Balances'!B$6:B$35,B21)=1,SUMIFS('Bonus Balances'!C$6:C$35,'Bonus Balances'!A$6:A$35,C21,'Bonus Balances'!B$6:B$35,B21)=E21,SUMIFS('Bonus Balances'!C$6:C$35,'Bonus Balances'!A$6:A$35,C21,'Bonus Balances'!B$6:B$35,B21)&gt;0,COUNTIFS('Bonus Balances'!A$6:A$35,C21,'Bonus Balances'!B$6:B$35,B21,'Bonus Balances'!E$6:E$35,"&lt;&gt;")=1),TRUE)),"Qualifies","Review / not eligible"))</x:f>
      </x:c>
      <x:c r="U21" s="29" t="str">
        <x:f>IF(AND(L21&gt;0,ISNUMBER(I21)),IF(S21="Legacy meeting terms",WORKDAY(I21,5),IF(COUNTIFS('Bonus Balances'!A$6:A$35,C21,'Bonus Balances'!B$6:B$35,B21,'Bonus Balances'!I$6:I$35,"Ready")=1,WORKDAY(MAX(I21,SUMIFS('Bonus Balances'!G$6:G$35,'Bonus Balances'!A$6:A$35,C21,'Bonus Balances'!B$6:B$35,B21),SUMIFS('Bonus Balances'!Q$6:Q$35,'Bonus Balances'!A$6:A$35,C21,'Bonus Balances'!B$6:B$35,B21)),5),"")),"")</x:f>
      </x:c>
      <x:c r="V21" s="30" t="str">
        <x:f>IF(A21="","",IF(OR(M21&lt;0,M21&gt;L21,X21&lt;0,AND(S21="Legacy meeting terms",X21&lt;&gt;0),AND(S21="Conditional bonus",OR(N21&lt;&gt;0,NOT(COUNTIFS('Bonus Balances'!A$6:A$35,C21,'Bonus Balances'!B$6:B$35,B21,'Bonus Balances'!W$6:W$35,"Valid")=1),X21&gt;MAX(0,M21-(L21-W21)),AND(M21&gt;0,NOT(COUNTIFS('Bonus Balances'!A$6:A$35,C21,'Bonus Balances'!B$6:B$35,B21,'Bonus Balances'!I$6:I$35,"Ready")=1))))),"Review payment / refund reconciliation",IF(L21=0,"Not payable: check eligibility / cap",IF(AND(S21="Conditional bonus",NOT(COUNTIFS('Bonus Balances'!A$6:A$35,C21,'Bonus Balances'!B$6:B$35,B21,'Bonus Balances'!I$6:I$35,"Ready")=1)),"Conditional: no payment due",IF(Y21&gt;0,"Recover bonus overpayment",IF(P21&gt;0,"Payable",IF(W21&gt;0,"Settled after refund","Paid")))))))</x:f>
      </x:c>
      <x:c r="W21" s="50" t="str">
        <x:f>IF(A21="","",IF(AND(S21="Conditional bonus",COUNTIFS('Bonus Balances'!A$6:A$35,C21,'Bonus Balances'!B$6:B$35,B21,'Bonus Balances'!W$6:W$35,"Valid")=1),ROUND(L21*SUMIFS('Bonus Balances'!R$6:R$35,'Bonus Balances'!A$6:A$35,C21,'Bonus Balances'!B$6:B$35,B21),2),0))</x:f>
      </x:c>
      <x:c r="X21" s="37"/>
      <x:c r="Y21" s="37" t="str">
        <x:f>IF(A21="","",IF(S21="Conditional bonus",ROUND(MAX(0,M21-(L21-W21)-X21),2),0))</x:f>
      </x:c>
    </x:row>
    <x:row r="22" ht="28" customHeight="1">
      <x:c r="A22" s="11"/>
      <x:c r="B22" s="11"/>
      <x:c r="C22" s="11"/>
      <x:c r="D22" s="11"/>
      <x:c r="E22" s="13"/>
      <x:c r="F22" s="15" t="str">
        <x:f>IF(E22="","",E22+60)</x:f>
      </x:c>
      <x:c r="G22" s="13"/>
      <x:c r="H22" s="13"/>
      <x:c r="I22" s="13"/>
      <x:c r="J22" s="11"/>
      <x:c r="K22" s="11"/>
      <x:c r="L22" s="16" t="str">
        <x:f>IF(A22="","",IF(AND(T22="Qualifies",COUNTIFS(B$6:B22,B22,C$6:C22,C22,T$6:T22,"Qualifies")&lt;=4),100,0))</x:f>
      </x:c>
      <x:c r="M22" s="17"/>
      <x:c r="N22" s="17"/>
      <x:c r="O22" s="16" t="str">
        <x:f>IF(A22="","",IF(S22="Legacy meeting terms",MAX(0,M22-N22),0))</x:f>
      </x:c>
      <x:c r="P22" s="16" t="str">
        <x:f>IF(A22="","",IF(S22="Legacy meeting terms",MAX(0,L22-M22),IF(AND(S22="Conditional bonus",COUNTIFS('Bonus Balances'!A$6:A$35,C22,'Bonus Balances'!B$6:B$35,B22,'Bonus Balances'!I$6:I$35,"Ready")=1,COUNTIFS('Bonus Balances'!A$6:A$35,C22,'Bonus Balances'!B$6:B$35,B22,'Bonus Balances'!W$6:W$35,"Valid")=1,M22&gt;=0,M22&lt;=L22,X22&gt;=0,X22&lt;=MAX(0,M22-(L22-W22))),ROUND(MAX(0,L22-W22-M22+X22),2),0)))</x:f>
      </x:c>
      <x:c r="Q22" s="13"/>
      <x:c r="R22" s="11"/>
      <x:c r="S22" s="27"/>
      <x:c r="T22" s="30" t="str">
        <x:f>IF(A22="","",IF(AND(AND(J22="Confirmed",B22&lt;&gt;"",C22&lt;&gt;"",D22&lt;&gt;"",ISNUMBER(E22),ISNUMBER(G22),ISNUMBER(H22),ISNUMBER(I22),K22&lt;&gt;"",R22&lt;&gt;"",G22&gt;=E22,G22&lt;F22,H22&lt;=G22,I22&gt;=G22),OR(S22="Conditional bonus",S22="Legacy meeting terms"),COUNTIF(A$6:A22,A22)=1,COUNTIFS(C$6:C22,C22,D$6:D22,D22)=1,IF(S22="Conditional bonus",COUNTIFS(D$6:D22,D22,S$6:S22,"Conditional bonus")=1,TRUE),IF(S22="Conditional bonus",AND(COUNTIFS('Bonus Balances'!A$6:A$35,C22,'Bonus Balances'!B$6:B$35,B22)=1,SUMIFS('Bonus Balances'!C$6:C$35,'Bonus Balances'!A$6:A$35,C22,'Bonus Balances'!B$6:B$35,B22)=E22,SUMIFS('Bonus Balances'!C$6:C$35,'Bonus Balances'!A$6:A$35,C22,'Bonus Balances'!B$6:B$35,B22)&gt;0,COUNTIFS('Bonus Balances'!A$6:A$35,C22,'Bonus Balances'!B$6:B$35,B22,'Bonus Balances'!E$6:E$35,"&lt;&gt;")=1),TRUE)),"Qualifies","Review / not eligible"))</x:f>
      </x:c>
      <x:c r="U22" s="29" t="str">
        <x:f>IF(AND(L22&gt;0,ISNUMBER(I22)),IF(S22="Legacy meeting terms",WORKDAY(I22,5),IF(COUNTIFS('Bonus Balances'!A$6:A$35,C22,'Bonus Balances'!B$6:B$35,B22,'Bonus Balances'!I$6:I$35,"Ready")=1,WORKDAY(MAX(I22,SUMIFS('Bonus Balances'!G$6:G$35,'Bonus Balances'!A$6:A$35,C22,'Bonus Balances'!B$6:B$35,B22),SUMIFS('Bonus Balances'!Q$6:Q$35,'Bonus Balances'!A$6:A$35,C22,'Bonus Balances'!B$6:B$35,B22)),5),"")),"")</x:f>
      </x:c>
      <x:c r="V22" s="30" t="str">
        <x:f>IF(A22="","",IF(OR(M22&lt;0,M22&gt;L22,X22&lt;0,AND(S22="Legacy meeting terms",X22&lt;&gt;0),AND(S22="Conditional bonus",OR(N22&lt;&gt;0,NOT(COUNTIFS('Bonus Balances'!A$6:A$35,C22,'Bonus Balances'!B$6:B$35,B22,'Bonus Balances'!W$6:W$35,"Valid")=1),X22&gt;MAX(0,M22-(L22-W22)),AND(M22&gt;0,NOT(COUNTIFS('Bonus Balances'!A$6:A$35,C22,'Bonus Balances'!B$6:B$35,B22,'Bonus Balances'!I$6:I$35,"Ready")=1))))),"Review payment / refund reconciliation",IF(L22=0,"Not payable: check eligibility / cap",IF(AND(S22="Conditional bonus",NOT(COUNTIFS('Bonus Balances'!A$6:A$35,C22,'Bonus Balances'!B$6:B$35,B22,'Bonus Balances'!I$6:I$35,"Ready")=1)),"Conditional: no payment due",IF(Y22&gt;0,"Recover bonus overpayment",IF(P22&gt;0,"Payable",IF(W22&gt;0,"Settled after refund","Paid")))))))</x:f>
      </x:c>
      <x:c r="W22" s="50" t="str">
        <x:f>IF(A22="","",IF(AND(S22="Conditional bonus",COUNTIFS('Bonus Balances'!A$6:A$35,C22,'Bonus Balances'!B$6:B$35,B22,'Bonus Balances'!W$6:W$35,"Valid")=1),ROUND(L22*SUMIFS('Bonus Balances'!R$6:R$35,'Bonus Balances'!A$6:A$35,C22,'Bonus Balances'!B$6:B$35,B22),2),0))</x:f>
      </x:c>
      <x:c r="X22" s="37"/>
      <x:c r="Y22" s="37" t="str">
        <x:f>IF(A22="","",IF(S22="Conditional bonus",ROUND(MAX(0,M22-(L22-W22)-X22),2),0))</x:f>
      </x:c>
    </x:row>
    <x:row r="23" ht="28" customHeight="1">
      <x:c r="A23" s="11"/>
      <x:c r="B23" s="11"/>
      <x:c r="C23" s="11"/>
      <x:c r="D23" s="11"/>
      <x:c r="E23" s="13"/>
      <x:c r="F23" s="15" t="str">
        <x:f>IF(E23="","",E23+60)</x:f>
      </x:c>
      <x:c r="G23" s="13"/>
      <x:c r="H23" s="13"/>
      <x:c r="I23" s="13"/>
      <x:c r="J23" s="11"/>
      <x:c r="K23" s="11"/>
      <x:c r="L23" s="16" t="str">
        <x:f>IF(A23="","",IF(AND(T23="Qualifies",COUNTIFS(B$6:B23,B23,C$6:C23,C23,T$6:T23,"Qualifies")&lt;=4),100,0))</x:f>
      </x:c>
      <x:c r="M23" s="17"/>
      <x:c r="N23" s="17"/>
      <x:c r="O23" s="16" t="str">
        <x:f>IF(A23="","",IF(S23="Legacy meeting terms",MAX(0,M23-N23),0))</x:f>
      </x:c>
      <x:c r="P23" s="16" t="str">
        <x:f>IF(A23="","",IF(S23="Legacy meeting terms",MAX(0,L23-M23),IF(AND(S23="Conditional bonus",COUNTIFS('Bonus Balances'!A$6:A$35,C23,'Bonus Balances'!B$6:B$35,B23,'Bonus Balances'!I$6:I$35,"Ready")=1,COUNTIFS('Bonus Balances'!A$6:A$35,C23,'Bonus Balances'!B$6:B$35,B23,'Bonus Balances'!W$6:W$35,"Valid")=1,M23&gt;=0,M23&lt;=L23,X23&gt;=0,X23&lt;=MAX(0,M23-(L23-W23))),ROUND(MAX(0,L23-W23-M23+X23),2),0)))</x:f>
      </x:c>
      <x:c r="Q23" s="13"/>
      <x:c r="R23" s="11"/>
      <x:c r="S23" s="27"/>
      <x:c r="T23" s="30" t="str">
        <x:f>IF(A23="","",IF(AND(AND(J23="Confirmed",B23&lt;&gt;"",C23&lt;&gt;"",D23&lt;&gt;"",ISNUMBER(E23),ISNUMBER(G23),ISNUMBER(H23),ISNUMBER(I23),K23&lt;&gt;"",R23&lt;&gt;"",G23&gt;=E23,G23&lt;F23,H23&lt;=G23,I23&gt;=G23),OR(S23="Conditional bonus",S23="Legacy meeting terms"),COUNTIF(A$6:A23,A23)=1,COUNTIFS(C$6:C23,C23,D$6:D23,D23)=1,IF(S23="Conditional bonus",COUNTIFS(D$6:D23,D23,S$6:S23,"Conditional bonus")=1,TRUE),IF(S23="Conditional bonus",AND(COUNTIFS('Bonus Balances'!A$6:A$35,C23,'Bonus Balances'!B$6:B$35,B23)=1,SUMIFS('Bonus Balances'!C$6:C$35,'Bonus Balances'!A$6:A$35,C23,'Bonus Balances'!B$6:B$35,B23)=E23,SUMIFS('Bonus Balances'!C$6:C$35,'Bonus Balances'!A$6:A$35,C23,'Bonus Balances'!B$6:B$35,B23)&gt;0,COUNTIFS('Bonus Balances'!A$6:A$35,C23,'Bonus Balances'!B$6:B$35,B23,'Bonus Balances'!E$6:E$35,"&lt;&gt;")=1),TRUE)),"Qualifies","Review / not eligible"))</x:f>
      </x:c>
      <x:c r="U23" s="29" t="str">
        <x:f>IF(AND(L23&gt;0,ISNUMBER(I23)),IF(S23="Legacy meeting terms",WORKDAY(I23,5),IF(COUNTIFS('Bonus Balances'!A$6:A$35,C23,'Bonus Balances'!B$6:B$35,B23,'Bonus Balances'!I$6:I$35,"Ready")=1,WORKDAY(MAX(I23,SUMIFS('Bonus Balances'!G$6:G$35,'Bonus Balances'!A$6:A$35,C23,'Bonus Balances'!B$6:B$35,B23),SUMIFS('Bonus Balances'!Q$6:Q$35,'Bonus Balances'!A$6:A$35,C23,'Bonus Balances'!B$6:B$35,B23)),5),"")),"")</x:f>
      </x:c>
      <x:c r="V23" s="30" t="str">
        <x:f>IF(A23="","",IF(OR(M23&lt;0,M23&gt;L23,X23&lt;0,AND(S23="Legacy meeting terms",X23&lt;&gt;0),AND(S23="Conditional bonus",OR(N23&lt;&gt;0,NOT(COUNTIFS('Bonus Balances'!A$6:A$35,C23,'Bonus Balances'!B$6:B$35,B23,'Bonus Balances'!W$6:W$35,"Valid")=1),X23&gt;MAX(0,M23-(L23-W23)),AND(M23&gt;0,NOT(COUNTIFS('Bonus Balances'!A$6:A$35,C23,'Bonus Balances'!B$6:B$35,B23,'Bonus Balances'!I$6:I$35,"Ready")=1))))),"Review payment / refund reconciliation",IF(L23=0,"Not payable: check eligibility / cap",IF(AND(S23="Conditional bonus",NOT(COUNTIFS('Bonus Balances'!A$6:A$35,C23,'Bonus Balances'!B$6:B$35,B23,'Bonus Balances'!I$6:I$35,"Ready")=1)),"Conditional: no payment due",IF(Y23&gt;0,"Recover bonus overpayment",IF(P23&gt;0,"Payable",IF(W23&gt;0,"Settled after refund","Paid")))))))</x:f>
      </x:c>
      <x:c r="W23" s="50" t="str">
        <x:f>IF(A23="","",IF(AND(S23="Conditional bonus",COUNTIFS('Bonus Balances'!A$6:A$35,C23,'Bonus Balances'!B$6:B$35,B23,'Bonus Balances'!W$6:W$35,"Valid")=1),ROUND(L23*SUMIFS('Bonus Balances'!R$6:R$35,'Bonus Balances'!A$6:A$35,C23,'Bonus Balances'!B$6:B$35,B23),2),0))</x:f>
      </x:c>
      <x:c r="X23" s="37"/>
      <x:c r="Y23" s="37" t="str">
        <x:f>IF(A23="","",IF(S23="Conditional bonus",ROUND(MAX(0,M23-(L23-W23)-X23),2),0))</x:f>
      </x:c>
    </x:row>
    <x:row r="24" ht="28" customHeight="1">
      <x:c r="A24" s="11"/>
      <x:c r="B24" s="11"/>
      <x:c r="C24" s="11"/>
      <x:c r="D24" s="11"/>
      <x:c r="E24" s="13"/>
      <x:c r="F24" s="15" t="str">
        <x:f>IF(E24="","",E24+60)</x:f>
      </x:c>
      <x:c r="G24" s="13"/>
      <x:c r="H24" s="13"/>
      <x:c r="I24" s="13"/>
      <x:c r="J24" s="11"/>
      <x:c r="K24" s="11"/>
      <x:c r="L24" s="16" t="str">
        <x:f>IF(A24="","",IF(AND(T24="Qualifies",COUNTIFS(B$6:B24,B24,C$6:C24,C24,T$6:T24,"Qualifies")&lt;=4),100,0))</x:f>
      </x:c>
      <x:c r="M24" s="17"/>
      <x:c r="N24" s="17"/>
      <x:c r="O24" s="16" t="str">
        <x:f>IF(A24="","",IF(S24="Legacy meeting terms",MAX(0,M24-N24),0))</x:f>
      </x:c>
      <x:c r="P24" s="16" t="str">
        <x:f>IF(A24="","",IF(S24="Legacy meeting terms",MAX(0,L24-M24),IF(AND(S24="Conditional bonus",COUNTIFS('Bonus Balances'!A$6:A$35,C24,'Bonus Balances'!B$6:B$35,B24,'Bonus Balances'!I$6:I$35,"Ready")=1,COUNTIFS('Bonus Balances'!A$6:A$35,C24,'Bonus Balances'!B$6:B$35,B24,'Bonus Balances'!W$6:W$35,"Valid")=1,M24&gt;=0,M24&lt;=L24,X24&gt;=0,X24&lt;=MAX(0,M24-(L24-W24))),ROUND(MAX(0,L24-W24-M24+X24),2),0)))</x:f>
      </x:c>
      <x:c r="Q24" s="13"/>
      <x:c r="R24" s="11"/>
      <x:c r="S24" s="27"/>
      <x:c r="T24" s="30" t="str">
        <x:f>IF(A24="","",IF(AND(AND(J24="Confirmed",B24&lt;&gt;"",C24&lt;&gt;"",D24&lt;&gt;"",ISNUMBER(E24),ISNUMBER(G24),ISNUMBER(H24),ISNUMBER(I24),K24&lt;&gt;"",R24&lt;&gt;"",G24&gt;=E24,G24&lt;F24,H24&lt;=G24,I24&gt;=G24),OR(S24="Conditional bonus",S24="Legacy meeting terms"),COUNTIF(A$6:A24,A24)=1,COUNTIFS(C$6:C24,C24,D$6:D24,D24)=1,IF(S24="Conditional bonus",COUNTIFS(D$6:D24,D24,S$6:S24,"Conditional bonus")=1,TRUE),IF(S24="Conditional bonus",AND(COUNTIFS('Bonus Balances'!A$6:A$35,C24,'Bonus Balances'!B$6:B$35,B24)=1,SUMIFS('Bonus Balances'!C$6:C$35,'Bonus Balances'!A$6:A$35,C24,'Bonus Balances'!B$6:B$35,B24)=E24,SUMIFS('Bonus Balances'!C$6:C$35,'Bonus Balances'!A$6:A$35,C24,'Bonus Balances'!B$6:B$35,B24)&gt;0,COUNTIFS('Bonus Balances'!A$6:A$35,C24,'Bonus Balances'!B$6:B$35,B24,'Bonus Balances'!E$6:E$35,"&lt;&gt;")=1),TRUE)),"Qualifies","Review / not eligible"))</x:f>
      </x:c>
      <x:c r="U24" s="29" t="str">
        <x:f>IF(AND(L24&gt;0,ISNUMBER(I24)),IF(S24="Legacy meeting terms",WORKDAY(I24,5),IF(COUNTIFS('Bonus Balances'!A$6:A$35,C24,'Bonus Balances'!B$6:B$35,B24,'Bonus Balances'!I$6:I$35,"Ready")=1,WORKDAY(MAX(I24,SUMIFS('Bonus Balances'!G$6:G$35,'Bonus Balances'!A$6:A$35,C24,'Bonus Balances'!B$6:B$35,B24),SUMIFS('Bonus Balances'!Q$6:Q$35,'Bonus Balances'!A$6:A$35,C24,'Bonus Balances'!B$6:B$35,B24)),5),"")),"")</x:f>
      </x:c>
      <x:c r="V24" s="30" t="str">
        <x:f>IF(A24="","",IF(OR(M24&lt;0,M24&gt;L24,X24&lt;0,AND(S24="Legacy meeting terms",X24&lt;&gt;0),AND(S24="Conditional bonus",OR(N24&lt;&gt;0,NOT(COUNTIFS('Bonus Balances'!A$6:A$35,C24,'Bonus Balances'!B$6:B$35,B24,'Bonus Balances'!W$6:W$35,"Valid")=1),X24&gt;MAX(0,M24-(L24-W24)),AND(M24&gt;0,NOT(COUNTIFS('Bonus Balances'!A$6:A$35,C24,'Bonus Balances'!B$6:B$35,B24,'Bonus Balances'!I$6:I$35,"Ready")=1))))),"Review payment / refund reconciliation",IF(L24=0,"Not payable: check eligibility / cap",IF(AND(S24="Conditional bonus",NOT(COUNTIFS('Bonus Balances'!A$6:A$35,C24,'Bonus Balances'!B$6:B$35,B24,'Bonus Balances'!I$6:I$35,"Ready")=1)),"Conditional: no payment due",IF(Y24&gt;0,"Recover bonus overpayment",IF(P24&gt;0,"Payable",IF(W24&gt;0,"Settled after refund","Paid")))))))</x:f>
      </x:c>
      <x:c r="W24" s="50" t="str">
        <x:f>IF(A24="","",IF(AND(S24="Conditional bonus",COUNTIFS('Bonus Balances'!A$6:A$35,C24,'Bonus Balances'!B$6:B$35,B24,'Bonus Balances'!W$6:W$35,"Valid")=1),ROUND(L24*SUMIFS('Bonus Balances'!R$6:R$35,'Bonus Balances'!A$6:A$35,C24,'Bonus Balances'!B$6:B$35,B24),2),0))</x:f>
      </x:c>
      <x:c r="X24" s="37"/>
      <x:c r="Y24" s="37" t="str">
        <x:f>IF(A24="","",IF(S24="Conditional bonus",ROUND(MAX(0,M24-(L24-W24)-X24),2),0))</x:f>
      </x:c>
    </x:row>
    <x:row r="25" ht="28" customHeight="1">
      <x:c r="A25" s="11"/>
      <x:c r="B25" s="11"/>
      <x:c r="C25" s="11"/>
      <x:c r="D25" s="11"/>
      <x:c r="E25" s="13"/>
      <x:c r="F25" s="15" t="str">
        <x:f>IF(E25="","",E25+60)</x:f>
      </x:c>
      <x:c r="G25" s="13"/>
      <x:c r="H25" s="13"/>
      <x:c r="I25" s="13"/>
      <x:c r="J25" s="11"/>
      <x:c r="K25" s="11"/>
      <x:c r="L25" s="16" t="str">
        <x:f>IF(A25="","",IF(AND(T25="Qualifies",COUNTIFS(B$6:B25,B25,C$6:C25,C25,T$6:T25,"Qualifies")&lt;=4),100,0))</x:f>
      </x:c>
      <x:c r="M25" s="17"/>
      <x:c r="N25" s="17"/>
      <x:c r="O25" s="16" t="str">
        <x:f>IF(A25="","",IF(S25="Legacy meeting terms",MAX(0,M25-N25),0))</x:f>
      </x:c>
      <x:c r="P25" s="16" t="str">
        <x:f>IF(A25="","",IF(S25="Legacy meeting terms",MAX(0,L25-M25),IF(AND(S25="Conditional bonus",COUNTIFS('Bonus Balances'!A$6:A$35,C25,'Bonus Balances'!B$6:B$35,B25,'Bonus Balances'!I$6:I$35,"Ready")=1,COUNTIFS('Bonus Balances'!A$6:A$35,C25,'Bonus Balances'!B$6:B$35,B25,'Bonus Balances'!W$6:W$35,"Valid")=1,M25&gt;=0,M25&lt;=L25,X25&gt;=0,X25&lt;=MAX(0,M25-(L25-W25))),ROUND(MAX(0,L25-W25-M25+X25),2),0)))</x:f>
      </x:c>
      <x:c r="Q25" s="13"/>
      <x:c r="R25" s="11"/>
      <x:c r="S25" s="27"/>
      <x:c r="T25" s="30" t="str">
        <x:f>IF(A25="","",IF(AND(AND(J25="Confirmed",B25&lt;&gt;"",C25&lt;&gt;"",D25&lt;&gt;"",ISNUMBER(E25),ISNUMBER(G25),ISNUMBER(H25),ISNUMBER(I25),K25&lt;&gt;"",R25&lt;&gt;"",G25&gt;=E25,G25&lt;F25,H25&lt;=G25,I25&gt;=G25),OR(S25="Conditional bonus",S25="Legacy meeting terms"),COUNTIF(A$6:A25,A25)=1,COUNTIFS(C$6:C25,C25,D$6:D25,D25)=1,IF(S25="Conditional bonus",COUNTIFS(D$6:D25,D25,S$6:S25,"Conditional bonus")=1,TRUE),IF(S25="Conditional bonus",AND(COUNTIFS('Bonus Balances'!A$6:A$35,C25,'Bonus Balances'!B$6:B$35,B25)=1,SUMIFS('Bonus Balances'!C$6:C$35,'Bonus Balances'!A$6:A$35,C25,'Bonus Balances'!B$6:B$35,B25)=E25,SUMIFS('Bonus Balances'!C$6:C$35,'Bonus Balances'!A$6:A$35,C25,'Bonus Balances'!B$6:B$35,B25)&gt;0,COUNTIFS('Bonus Balances'!A$6:A$35,C25,'Bonus Balances'!B$6:B$35,B25,'Bonus Balances'!E$6:E$35,"&lt;&gt;")=1),TRUE)),"Qualifies","Review / not eligible"))</x:f>
      </x:c>
      <x:c r="U25" s="29" t="str">
        <x:f>IF(AND(L25&gt;0,ISNUMBER(I25)),IF(S25="Legacy meeting terms",WORKDAY(I25,5),IF(COUNTIFS('Bonus Balances'!A$6:A$35,C25,'Bonus Balances'!B$6:B$35,B25,'Bonus Balances'!I$6:I$35,"Ready")=1,WORKDAY(MAX(I25,SUMIFS('Bonus Balances'!G$6:G$35,'Bonus Balances'!A$6:A$35,C25,'Bonus Balances'!B$6:B$35,B25),SUMIFS('Bonus Balances'!Q$6:Q$35,'Bonus Balances'!A$6:A$35,C25,'Bonus Balances'!B$6:B$35,B25)),5),"")),"")</x:f>
      </x:c>
      <x:c r="V25" s="30" t="str">
        <x:f>IF(A25="","",IF(OR(M25&lt;0,M25&gt;L25,X25&lt;0,AND(S25="Legacy meeting terms",X25&lt;&gt;0),AND(S25="Conditional bonus",OR(N25&lt;&gt;0,NOT(COUNTIFS('Bonus Balances'!A$6:A$35,C25,'Bonus Balances'!B$6:B$35,B25,'Bonus Balances'!W$6:W$35,"Valid")=1),X25&gt;MAX(0,M25-(L25-W25)),AND(M25&gt;0,NOT(COUNTIFS('Bonus Balances'!A$6:A$35,C25,'Bonus Balances'!B$6:B$35,B25,'Bonus Balances'!I$6:I$35,"Ready")=1))))),"Review payment / refund reconciliation",IF(L25=0,"Not payable: check eligibility / cap",IF(AND(S25="Conditional bonus",NOT(COUNTIFS('Bonus Balances'!A$6:A$35,C25,'Bonus Balances'!B$6:B$35,B25,'Bonus Balances'!I$6:I$35,"Ready")=1)),"Conditional: no payment due",IF(Y25&gt;0,"Recover bonus overpayment",IF(P25&gt;0,"Payable",IF(W25&gt;0,"Settled after refund","Paid")))))))</x:f>
      </x:c>
      <x:c r="W25" s="50" t="str">
        <x:f>IF(A25="","",IF(AND(S25="Conditional bonus",COUNTIFS('Bonus Balances'!A$6:A$35,C25,'Bonus Balances'!B$6:B$35,B25,'Bonus Balances'!W$6:W$35,"Valid")=1),ROUND(L25*SUMIFS('Bonus Balances'!R$6:R$35,'Bonus Balances'!A$6:A$35,C25,'Bonus Balances'!B$6:B$35,B25),2),0))</x:f>
      </x:c>
      <x:c r="X25" s="37"/>
      <x:c r="Y25" s="37" t="str">
        <x:f>IF(A25="","",IF(S25="Conditional bonus",ROUND(MAX(0,M25-(L25-W25)-X25),2),0))</x:f>
      </x:c>
    </x:row>
    <x:row r="26" ht="28" customHeight="1">
      <x:c r="A26" s="11"/>
      <x:c r="B26" s="11"/>
      <x:c r="C26" s="11"/>
      <x:c r="D26" s="11"/>
      <x:c r="E26" s="13"/>
      <x:c r="F26" s="15" t="str">
        <x:f>IF(E26="","",E26+60)</x:f>
      </x:c>
      <x:c r="G26" s="13"/>
      <x:c r="H26" s="13"/>
      <x:c r="I26" s="13"/>
      <x:c r="J26" s="11"/>
      <x:c r="K26" s="11"/>
      <x:c r="L26" s="16" t="str">
        <x:f>IF(A26="","",IF(AND(T26="Qualifies",COUNTIFS(B$6:B26,B26,C$6:C26,C26,T$6:T26,"Qualifies")&lt;=4),100,0))</x:f>
      </x:c>
      <x:c r="M26" s="17"/>
      <x:c r="N26" s="17"/>
      <x:c r="O26" s="16" t="str">
        <x:f>IF(A26="","",IF(S26="Legacy meeting terms",MAX(0,M26-N26),0))</x:f>
      </x:c>
      <x:c r="P26" s="16" t="str">
        <x:f>IF(A26="","",IF(S26="Legacy meeting terms",MAX(0,L26-M26),IF(AND(S26="Conditional bonus",COUNTIFS('Bonus Balances'!A$6:A$35,C26,'Bonus Balances'!B$6:B$35,B26,'Bonus Balances'!I$6:I$35,"Ready")=1,COUNTIFS('Bonus Balances'!A$6:A$35,C26,'Bonus Balances'!B$6:B$35,B26,'Bonus Balances'!W$6:W$35,"Valid")=1,M26&gt;=0,M26&lt;=L26,X26&gt;=0,X26&lt;=MAX(0,M26-(L26-W26))),ROUND(MAX(0,L26-W26-M26+X26),2),0)))</x:f>
      </x:c>
      <x:c r="Q26" s="13"/>
      <x:c r="R26" s="11"/>
      <x:c r="S26" s="27"/>
      <x:c r="T26" s="30" t="str">
        <x:f>IF(A26="","",IF(AND(AND(J26="Confirmed",B26&lt;&gt;"",C26&lt;&gt;"",D26&lt;&gt;"",ISNUMBER(E26),ISNUMBER(G26),ISNUMBER(H26),ISNUMBER(I26),K26&lt;&gt;"",R26&lt;&gt;"",G26&gt;=E26,G26&lt;F26,H26&lt;=G26,I26&gt;=G26),OR(S26="Conditional bonus",S26="Legacy meeting terms"),COUNTIF(A$6:A26,A26)=1,COUNTIFS(C$6:C26,C26,D$6:D26,D26)=1,IF(S26="Conditional bonus",COUNTIFS(D$6:D26,D26,S$6:S26,"Conditional bonus")=1,TRUE),IF(S26="Conditional bonus",AND(COUNTIFS('Bonus Balances'!A$6:A$35,C26,'Bonus Balances'!B$6:B$35,B26)=1,SUMIFS('Bonus Balances'!C$6:C$35,'Bonus Balances'!A$6:A$35,C26,'Bonus Balances'!B$6:B$35,B26)=E26,SUMIFS('Bonus Balances'!C$6:C$35,'Bonus Balances'!A$6:A$35,C26,'Bonus Balances'!B$6:B$35,B26)&gt;0,COUNTIFS('Bonus Balances'!A$6:A$35,C26,'Bonus Balances'!B$6:B$35,B26,'Bonus Balances'!E$6:E$35,"&lt;&gt;")=1),TRUE)),"Qualifies","Review / not eligible"))</x:f>
      </x:c>
      <x:c r="U26" s="29" t="str">
        <x:f>IF(AND(L26&gt;0,ISNUMBER(I26)),IF(S26="Legacy meeting terms",WORKDAY(I26,5),IF(COUNTIFS('Bonus Balances'!A$6:A$35,C26,'Bonus Balances'!B$6:B$35,B26,'Bonus Balances'!I$6:I$35,"Ready")=1,WORKDAY(MAX(I26,SUMIFS('Bonus Balances'!G$6:G$35,'Bonus Balances'!A$6:A$35,C26,'Bonus Balances'!B$6:B$35,B26),SUMIFS('Bonus Balances'!Q$6:Q$35,'Bonus Balances'!A$6:A$35,C26,'Bonus Balances'!B$6:B$35,B26)),5),"")),"")</x:f>
      </x:c>
      <x:c r="V26" s="30" t="str">
        <x:f>IF(A26="","",IF(OR(M26&lt;0,M26&gt;L26,X26&lt;0,AND(S26="Legacy meeting terms",X26&lt;&gt;0),AND(S26="Conditional bonus",OR(N26&lt;&gt;0,NOT(COUNTIFS('Bonus Balances'!A$6:A$35,C26,'Bonus Balances'!B$6:B$35,B26,'Bonus Balances'!W$6:W$35,"Valid")=1),X26&gt;MAX(0,M26-(L26-W26)),AND(M26&gt;0,NOT(COUNTIFS('Bonus Balances'!A$6:A$35,C26,'Bonus Balances'!B$6:B$35,B26,'Bonus Balances'!I$6:I$35,"Ready")=1))))),"Review payment / refund reconciliation",IF(L26=0,"Not payable: check eligibility / cap",IF(AND(S26="Conditional bonus",NOT(COUNTIFS('Bonus Balances'!A$6:A$35,C26,'Bonus Balances'!B$6:B$35,B26,'Bonus Balances'!I$6:I$35,"Ready")=1)),"Conditional: no payment due",IF(Y26&gt;0,"Recover bonus overpayment",IF(P26&gt;0,"Payable",IF(W26&gt;0,"Settled after refund","Paid")))))))</x:f>
      </x:c>
      <x:c r="W26" s="50" t="str">
        <x:f>IF(A26="","",IF(AND(S26="Conditional bonus",COUNTIFS('Bonus Balances'!A$6:A$35,C26,'Bonus Balances'!B$6:B$35,B26,'Bonus Balances'!W$6:W$35,"Valid")=1),ROUND(L26*SUMIFS('Bonus Balances'!R$6:R$35,'Bonus Balances'!A$6:A$35,C26,'Bonus Balances'!B$6:B$35,B26),2),0))</x:f>
      </x:c>
      <x:c r="X26" s="37"/>
      <x:c r="Y26" s="37" t="str">
        <x:f>IF(A26="","",IF(S26="Conditional bonus",ROUND(MAX(0,M26-(L26-W26)-X26),2),0))</x:f>
      </x:c>
    </x:row>
    <x:row r="27" ht="28" customHeight="1">
      <x:c r="A27" s="11"/>
      <x:c r="B27" s="11"/>
      <x:c r="C27" s="11"/>
      <x:c r="D27" s="11"/>
      <x:c r="E27" s="13"/>
      <x:c r="F27" s="15" t="str">
        <x:f>IF(E27="","",E27+60)</x:f>
      </x:c>
      <x:c r="G27" s="13"/>
      <x:c r="H27" s="13"/>
      <x:c r="I27" s="13"/>
      <x:c r="J27" s="11"/>
      <x:c r="K27" s="11"/>
      <x:c r="L27" s="16" t="str">
        <x:f>IF(A27="","",IF(AND(T27="Qualifies",COUNTIFS(B$6:B27,B27,C$6:C27,C27,T$6:T27,"Qualifies")&lt;=4),100,0))</x:f>
      </x:c>
      <x:c r="M27" s="17"/>
      <x:c r="N27" s="17"/>
      <x:c r="O27" s="16" t="str">
        <x:f>IF(A27="","",IF(S27="Legacy meeting terms",MAX(0,M27-N27),0))</x:f>
      </x:c>
      <x:c r="P27" s="16" t="str">
        <x:f>IF(A27="","",IF(S27="Legacy meeting terms",MAX(0,L27-M27),IF(AND(S27="Conditional bonus",COUNTIFS('Bonus Balances'!A$6:A$35,C27,'Bonus Balances'!B$6:B$35,B27,'Bonus Balances'!I$6:I$35,"Ready")=1,COUNTIFS('Bonus Balances'!A$6:A$35,C27,'Bonus Balances'!B$6:B$35,B27,'Bonus Balances'!W$6:W$35,"Valid")=1,M27&gt;=0,M27&lt;=L27,X27&gt;=0,X27&lt;=MAX(0,M27-(L27-W27))),ROUND(MAX(0,L27-W27-M27+X27),2),0)))</x:f>
      </x:c>
      <x:c r="Q27" s="13"/>
      <x:c r="R27" s="11"/>
      <x:c r="S27" s="27"/>
      <x:c r="T27" s="30" t="str">
        <x:f>IF(A27="","",IF(AND(AND(J27="Confirmed",B27&lt;&gt;"",C27&lt;&gt;"",D27&lt;&gt;"",ISNUMBER(E27),ISNUMBER(G27),ISNUMBER(H27),ISNUMBER(I27),K27&lt;&gt;"",R27&lt;&gt;"",G27&gt;=E27,G27&lt;F27,H27&lt;=G27,I27&gt;=G27),OR(S27="Conditional bonus",S27="Legacy meeting terms"),COUNTIF(A$6:A27,A27)=1,COUNTIFS(C$6:C27,C27,D$6:D27,D27)=1,IF(S27="Conditional bonus",COUNTIFS(D$6:D27,D27,S$6:S27,"Conditional bonus")=1,TRUE),IF(S27="Conditional bonus",AND(COUNTIFS('Bonus Balances'!A$6:A$35,C27,'Bonus Balances'!B$6:B$35,B27)=1,SUMIFS('Bonus Balances'!C$6:C$35,'Bonus Balances'!A$6:A$35,C27,'Bonus Balances'!B$6:B$35,B27)=E27,SUMIFS('Bonus Balances'!C$6:C$35,'Bonus Balances'!A$6:A$35,C27,'Bonus Balances'!B$6:B$35,B27)&gt;0,COUNTIFS('Bonus Balances'!A$6:A$35,C27,'Bonus Balances'!B$6:B$35,B27,'Bonus Balances'!E$6:E$35,"&lt;&gt;")=1),TRUE)),"Qualifies","Review / not eligible"))</x:f>
      </x:c>
      <x:c r="U27" s="29" t="str">
        <x:f>IF(AND(L27&gt;0,ISNUMBER(I27)),IF(S27="Legacy meeting terms",WORKDAY(I27,5),IF(COUNTIFS('Bonus Balances'!A$6:A$35,C27,'Bonus Balances'!B$6:B$35,B27,'Bonus Balances'!I$6:I$35,"Ready")=1,WORKDAY(MAX(I27,SUMIFS('Bonus Balances'!G$6:G$35,'Bonus Balances'!A$6:A$35,C27,'Bonus Balances'!B$6:B$35,B27),SUMIFS('Bonus Balances'!Q$6:Q$35,'Bonus Balances'!A$6:A$35,C27,'Bonus Balances'!B$6:B$35,B27)),5),"")),"")</x:f>
      </x:c>
      <x:c r="V27" s="30" t="str">
        <x:f>IF(A27="","",IF(OR(M27&lt;0,M27&gt;L27,X27&lt;0,AND(S27="Legacy meeting terms",X27&lt;&gt;0),AND(S27="Conditional bonus",OR(N27&lt;&gt;0,NOT(COUNTIFS('Bonus Balances'!A$6:A$35,C27,'Bonus Balances'!B$6:B$35,B27,'Bonus Balances'!W$6:W$35,"Valid")=1),X27&gt;MAX(0,M27-(L27-W27)),AND(M27&gt;0,NOT(COUNTIFS('Bonus Balances'!A$6:A$35,C27,'Bonus Balances'!B$6:B$35,B27,'Bonus Balances'!I$6:I$35,"Ready")=1))))),"Review payment / refund reconciliation",IF(L27=0,"Not payable: check eligibility / cap",IF(AND(S27="Conditional bonus",NOT(COUNTIFS('Bonus Balances'!A$6:A$35,C27,'Bonus Balances'!B$6:B$35,B27,'Bonus Balances'!I$6:I$35,"Ready")=1)),"Conditional: no payment due",IF(Y27&gt;0,"Recover bonus overpayment",IF(P27&gt;0,"Payable",IF(W27&gt;0,"Settled after refund","Paid")))))))</x:f>
      </x:c>
      <x:c r="W27" s="50" t="str">
        <x:f>IF(A27="","",IF(AND(S27="Conditional bonus",COUNTIFS('Bonus Balances'!A$6:A$35,C27,'Bonus Balances'!B$6:B$35,B27,'Bonus Balances'!W$6:W$35,"Valid")=1),ROUND(L27*SUMIFS('Bonus Balances'!R$6:R$35,'Bonus Balances'!A$6:A$35,C27,'Bonus Balances'!B$6:B$35,B27),2),0))</x:f>
      </x:c>
      <x:c r="X27" s="37"/>
      <x:c r="Y27" s="37" t="str">
        <x:f>IF(A27="","",IF(S27="Conditional bonus",ROUND(MAX(0,M27-(L27-W27)-X27),2),0))</x:f>
      </x:c>
    </x:row>
    <x:row r="28" ht="28" customHeight="1">
      <x:c r="A28" s="11"/>
      <x:c r="B28" s="11"/>
      <x:c r="C28" s="11"/>
      <x:c r="D28" s="11"/>
      <x:c r="E28" s="13"/>
      <x:c r="F28" s="15" t="str">
        <x:f>IF(E28="","",E28+60)</x:f>
      </x:c>
      <x:c r="G28" s="13"/>
      <x:c r="H28" s="13"/>
      <x:c r="I28" s="13"/>
      <x:c r="J28" s="11"/>
      <x:c r="K28" s="11"/>
      <x:c r="L28" s="16" t="str">
        <x:f>IF(A28="","",IF(AND(T28="Qualifies",COUNTIFS(B$6:B28,B28,C$6:C28,C28,T$6:T28,"Qualifies")&lt;=4),100,0))</x:f>
      </x:c>
      <x:c r="M28" s="17"/>
      <x:c r="N28" s="17"/>
      <x:c r="O28" s="16" t="str">
        <x:f>IF(A28="","",IF(S28="Legacy meeting terms",MAX(0,M28-N28),0))</x:f>
      </x:c>
      <x:c r="P28" s="16" t="str">
        <x:f>IF(A28="","",IF(S28="Legacy meeting terms",MAX(0,L28-M28),IF(AND(S28="Conditional bonus",COUNTIFS('Bonus Balances'!A$6:A$35,C28,'Bonus Balances'!B$6:B$35,B28,'Bonus Balances'!I$6:I$35,"Ready")=1,COUNTIFS('Bonus Balances'!A$6:A$35,C28,'Bonus Balances'!B$6:B$35,B28,'Bonus Balances'!W$6:W$35,"Valid")=1,M28&gt;=0,M28&lt;=L28,X28&gt;=0,X28&lt;=MAX(0,M28-(L28-W28))),ROUND(MAX(0,L28-W28-M28+X28),2),0)))</x:f>
      </x:c>
      <x:c r="Q28" s="13"/>
      <x:c r="R28" s="11"/>
      <x:c r="S28" s="27"/>
      <x:c r="T28" s="30" t="str">
        <x:f>IF(A28="","",IF(AND(AND(J28="Confirmed",B28&lt;&gt;"",C28&lt;&gt;"",D28&lt;&gt;"",ISNUMBER(E28),ISNUMBER(G28),ISNUMBER(H28),ISNUMBER(I28),K28&lt;&gt;"",R28&lt;&gt;"",G28&gt;=E28,G28&lt;F28,H28&lt;=G28,I28&gt;=G28),OR(S28="Conditional bonus",S28="Legacy meeting terms"),COUNTIF(A$6:A28,A28)=1,COUNTIFS(C$6:C28,C28,D$6:D28,D28)=1,IF(S28="Conditional bonus",COUNTIFS(D$6:D28,D28,S$6:S28,"Conditional bonus")=1,TRUE),IF(S28="Conditional bonus",AND(COUNTIFS('Bonus Balances'!A$6:A$35,C28,'Bonus Balances'!B$6:B$35,B28)=1,SUMIFS('Bonus Balances'!C$6:C$35,'Bonus Balances'!A$6:A$35,C28,'Bonus Balances'!B$6:B$35,B28)=E28,SUMIFS('Bonus Balances'!C$6:C$35,'Bonus Balances'!A$6:A$35,C28,'Bonus Balances'!B$6:B$35,B28)&gt;0,COUNTIFS('Bonus Balances'!A$6:A$35,C28,'Bonus Balances'!B$6:B$35,B28,'Bonus Balances'!E$6:E$35,"&lt;&gt;")=1),TRUE)),"Qualifies","Review / not eligible"))</x:f>
      </x:c>
      <x:c r="U28" s="29" t="str">
        <x:f>IF(AND(L28&gt;0,ISNUMBER(I28)),IF(S28="Legacy meeting terms",WORKDAY(I28,5),IF(COUNTIFS('Bonus Balances'!A$6:A$35,C28,'Bonus Balances'!B$6:B$35,B28,'Bonus Balances'!I$6:I$35,"Ready")=1,WORKDAY(MAX(I28,SUMIFS('Bonus Balances'!G$6:G$35,'Bonus Balances'!A$6:A$35,C28,'Bonus Balances'!B$6:B$35,B28),SUMIFS('Bonus Balances'!Q$6:Q$35,'Bonus Balances'!A$6:A$35,C28,'Bonus Balances'!B$6:B$35,B28)),5),"")),"")</x:f>
      </x:c>
      <x:c r="V28" s="30" t="str">
        <x:f>IF(A28="","",IF(OR(M28&lt;0,M28&gt;L28,X28&lt;0,AND(S28="Legacy meeting terms",X28&lt;&gt;0),AND(S28="Conditional bonus",OR(N28&lt;&gt;0,NOT(COUNTIFS('Bonus Balances'!A$6:A$35,C28,'Bonus Balances'!B$6:B$35,B28,'Bonus Balances'!W$6:W$35,"Valid")=1),X28&gt;MAX(0,M28-(L28-W28)),AND(M28&gt;0,NOT(COUNTIFS('Bonus Balances'!A$6:A$35,C28,'Bonus Balances'!B$6:B$35,B28,'Bonus Balances'!I$6:I$35,"Ready")=1))))),"Review payment / refund reconciliation",IF(L28=0,"Not payable: check eligibility / cap",IF(AND(S28="Conditional bonus",NOT(COUNTIFS('Bonus Balances'!A$6:A$35,C28,'Bonus Balances'!B$6:B$35,B28,'Bonus Balances'!I$6:I$35,"Ready")=1)),"Conditional: no payment due",IF(Y28&gt;0,"Recover bonus overpayment",IF(P28&gt;0,"Payable",IF(W28&gt;0,"Settled after refund","Paid")))))))</x:f>
      </x:c>
      <x:c r="W28" s="50" t="str">
        <x:f>IF(A28="","",IF(AND(S28="Conditional bonus",COUNTIFS('Bonus Balances'!A$6:A$35,C28,'Bonus Balances'!B$6:B$35,B28,'Bonus Balances'!W$6:W$35,"Valid")=1),ROUND(L28*SUMIFS('Bonus Balances'!R$6:R$35,'Bonus Balances'!A$6:A$35,C28,'Bonus Balances'!B$6:B$35,B28),2),0))</x:f>
      </x:c>
      <x:c r="X28" s="37"/>
      <x:c r="Y28" s="37" t="str">
        <x:f>IF(A28="","",IF(S28="Conditional bonus",ROUND(MAX(0,M28-(L28-W28)-X28),2),0))</x:f>
      </x:c>
    </x:row>
    <x:row r="29" ht="28" customHeight="1">
      <x:c r="A29" s="11"/>
      <x:c r="B29" s="11"/>
      <x:c r="C29" s="11"/>
      <x:c r="D29" s="11"/>
      <x:c r="E29" s="13"/>
      <x:c r="F29" s="15" t="str">
        <x:f>IF(E29="","",E29+60)</x:f>
      </x:c>
      <x:c r="G29" s="13"/>
      <x:c r="H29" s="13"/>
      <x:c r="I29" s="13"/>
      <x:c r="J29" s="11"/>
      <x:c r="K29" s="11"/>
      <x:c r="L29" s="16" t="str">
        <x:f>IF(A29="","",IF(AND(T29="Qualifies",COUNTIFS(B$6:B29,B29,C$6:C29,C29,T$6:T29,"Qualifies")&lt;=4),100,0))</x:f>
      </x:c>
      <x:c r="M29" s="17"/>
      <x:c r="N29" s="17"/>
      <x:c r="O29" s="16" t="str">
        <x:f>IF(A29="","",IF(S29="Legacy meeting terms",MAX(0,M29-N29),0))</x:f>
      </x:c>
      <x:c r="P29" s="16" t="str">
        <x:f>IF(A29="","",IF(S29="Legacy meeting terms",MAX(0,L29-M29),IF(AND(S29="Conditional bonus",COUNTIFS('Bonus Balances'!A$6:A$35,C29,'Bonus Balances'!B$6:B$35,B29,'Bonus Balances'!I$6:I$35,"Ready")=1,COUNTIFS('Bonus Balances'!A$6:A$35,C29,'Bonus Balances'!B$6:B$35,B29,'Bonus Balances'!W$6:W$35,"Valid")=1,M29&gt;=0,M29&lt;=L29,X29&gt;=0,X29&lt;=MAX(0,M29-(L29-W29))),ROUND(MAX(0,L29-W29-M29+X29),2),0)))</x:f>
      </x:c>
      <x:c r="Q29" s="13"/>
      <x:c r="R29" s="11"/>
      <x:c r="S29" s="27"/>
      <x:c r="T29" s="30" t="str">
        <x:f>IF(A29="","",IF(AND(AND(J29="Confirmed",B29&lt;&gt;"",C29&lt;&gt;"",D29&lt;&gt;"",ISNUMBER(E29),ISNUMBER(G29),ISNUMBER(H29),ISNUMBER(I29),K29&lt;&gt;"",R29&lt;&gt;"",G29&gt;=E29,G29&lt;F29,H29&lt;=G29,I29&gt;=G29),OR(S29="Conditional bonus",S29="Legacy meeting terms"),COUNTIF(A$6:A29,A29)=1,COUNTIFS(C$6:C29,C29,D$6:D29,D29)=1,IF(S29="Conditional bonus",COUNTIFS(D$6:D29,D29,S$6:S29,"Conditional bonus")=1,TRUE),IF(S29="Conditional bonus",AND(COUNTIFS('Bonus Balances'!A$6:A$35,C29,'Bonus Balances'!B$6:B$35,B29)=1,SUMIFS('Bonus Balances'!C$6:C$35,'Bonus Balances'!A$6:A$35,C29,'Bonus Balances'!B$6:B$35,B29)=E29,SUMIFS('Bonus Balances'!C$6:C$35,'Bonus Balances'!A$6:A$35,C29,'Bonus Balances'!B$6:B$35,B29)&gt;0,COUNTIFS('Bonus Balances'!A$6:A$35,C29,'Bonus Balances'!B$6:B$35,B29,'Bonus Balances'!E$6:E$35,"&lt;&gt;")=1),TRUE)),"Qualifies","Review / not eligible"))</x:f>
      </x:c>
      <x:c r="U29" s="29" t="str">
        <x:f>IF(AND(L29&gt;0,ISNUMBER(I29)),IF(S29="Legacy meeting terms",WORKDAY(I29,5),IF(COUNTIFS('Bonus Balances'!A$6:A$35,C29,'Bonus Balances'!B$6:B$35,B29,'Bonus Balances'!I$6:I$35,"Ready")=1,WORKDAY(MAX(I29,SUMIFS('Bonus Balances'!G$6:G$35,'Bonus Balances'!A$6:A$35,C29,'Bonus Balances'!B$6:B$35,B29),SUMIFS('Bonus Balances'!Q$6:Q$35,'Bonus Balances'!A$6:A$35,C29,'Bonus Balances'!B$6:B$35,B29)),5),"")),"")</x:f>
      </x:c>
      <x:c r="V29" s="30" t="str">
        <x:f>IF(A29="","",IF(OR(M29&lt;0,M29&gt;L29,X29&lt;0,AND(S29="Legacy meeting terms",X29&lt;&gt;0),AND(S29="Conditional bonus",OR(N29&lt;&gt;0,NOT(COUNTIFS('Bonus Balances'!A$6:A$35,C29,'Bonus Balances'!B$6:B$35,B29,'Bonus Balances'!W$6:W$35,"Valid")=1),X29&gt;MAX(0,M29-(L29-W29)),AND(M29&gt;0,NOT(COUNTIFS('Bonus Balances'!A$6:A$35,C29,'Bonus Balances'!B$6:B$35,B29,'Bonus Balances'!I$6:I$35,"Ready")=1))))),"Review payment / refund reconciliation",IF(L29=0,"Not payable: check eligibility / cap",IF(AND(S29="Conditional bonus",NOT(COUNTIFS('Bonus Balances'!A$6:A$35,C29,'Bonus Balances'!B$6:B$35,B29,'Bonus Balances'!I$6:I$35,"Ready")=1)),"Conditional: no payment due",IF(Y29&gt;0,"Recover bonus overpayment",IF(P29&gt;0,"Payable",IF(W29&gt;0,"Settled after refund","Paid")))))))</x:f>
      </x:c>
      <x:c r="W29" s="50" t="str">
        <x:f>IF(A29="","",IF(AND(S29="Conditional bonus",COUNTIFS('Bonus Balances'!A$6:A$35,C29,'Bonus Balances'!B$6:B$35,B29,'Bonus Balances'!W$6:W$35,"Valid")=1),ROUND(L29*SUMIFS('Bonus Balances'!R$6:R$35,'Bonus Balances'!A$6:A$35,C29,'Bonus Balances'!B$6:B$35,B29),2),0))</x:f>
      </x:c>
      <x:c r="X29" s="37"/>
      <x:c r="Y29" s="37" t="str">
        <x:f>IF(A29="","",IF(S29="Conditional bonus",ROUND(MAX(0,M29-(L29-W29)-X29),2),0))</x:f>
      </x:c>
    </x:row>
    <x:row r="30" ht="28" customHeight="1">
      <x:c r="A30" s="11"/>
      <x:c r="B30" s="11"/>
      <x:c r="C30" s="11"/>
      <x:c r="D30" s="11"/>
      <x:c r="E30" s="13"/>
      <x:c r="F30" s="15" t="str">
        <x:f>IF(E30="","",E30+60)</x:f>
      </x:c>
      <x:c r="G30" s="13"/>
      <x:c r="H30" s="13"/>
      <x:c r="I30" s="13"/>
      <x:c r="J30" s="11"/>
      <x:c r="K30" s="11"/>
      <x:c r="L30" s="16" t="str">
        <x:f>IF(A30="","",IF(AND(T30="Qualifies",COUNTIFS(B$6:B30,B30,C$6:C30,C30,T$6:T30,"Qualifies")&lt;=4),100,0))</x:f>
      </x:c>
      <x:c r="M30" s="17"/>
      <x:c r="N30" s="17"/>
      <x:c r="O30" s="16" t="str">
        <x:f>IF(A30="","",IF(S30="Legacy meeting terms",MAX(0,M30-N30),0))</x:f>
      </x:c>
      <x:c r="P30" s="16" t="str">
        <x:f>IF(A30="","",IF(S30="Legacy meeting terms",MAX(0,L30-M30),IF(AND(S30="Conditional bonus",COUNTIFS('Bonus Balances'!A$6:A$35,C30,'Bonus Balances'!B$6:B$35,B30,'Bonus Balances'!I$6:I$35,"Ready")=1,COUNTIFS('Bonus Balances'!A$6:A$35,C30,'Bonus Balances'!B$6:B$35,B30,'Bonus Balances'!W$6:W$35,"Valid")=1,M30&gt;=0,M30&lt;=L30,X30&gt;=0,X30&lt;=MAX(0,M30-(L30-W30))),ROUND(MAX(0,L30-W30-M30+X30),2),0)))</x:f>
      </x:c>
      <x:c r="Q30" s="13"/>
      <x:c r="R30" s="11"/>
      <x:c r="S30" s="27"/>
      <x:c r="T30" s="30" t="str">
        <x:f>IF(A30="","",IF(AND(AND(J30="Confirmed",B30&lt;&gt;"",C30&lt;&gt;"",D30&lt;&gt;"",ISNUMBER(E30),ISNUMBER(G30),ISNUMBER(H30),ISNUMBER(I30),K30&lt;&gt;"",R30&lt;&gt;"",G30&gt;=E30,G30&lt;F30,H30&lt;=G30,I30&gt;=G30),OR(S30="Conditional bonus",S30="Legacy meeting terms"),COUNTIF(A$6:A30,A30)=1,COUNTIFS(C$6:C30,C30,D$6:D30,D30)=1,IF(S30="Conditional bonus",COUNTIFS(D$6:D30,D30,S$6:S30,"Conditional bonus")=1,TRUE),IF(S30="Conditional bonus",AND(COUNTIFS('Bonus Balances'!A$6:A$35,C30,'Bonus Balances'!B$6:B$35,B30)=1,SUMIFS('Bonus Balances'!C$6:C$35,'Bonus Balances'!A$6:A$35,C30,'Bonus Balances'!B$6:B$35,B30)=E30,SUMIFS('Bonus Balances'!C$6:C$35,'Bonus Balances'!A$6:A$35,C30,'Bonus Balances'!B$6:B$35,B30)&gt;0,COUNTIFS('Bonus Balances'!A$6:A$35,C30,'Bonus Balances'!B$6:B$35,B30,'Bonus Balances'!E$6:E$35,"&lt;&gt;")=1),TRUE)),"Qualifies","Review / not eligible"))</x:f>
      </x:c>
      <x:c r="U30" s="29" t="str">
        <x:f>IF(AND(L30&gt;0,ISNUMBER(I30)),IF(S30="Legacy meeting terms",WORKDAY(I30,5),IF(COUNTIFS('Bonus Balances'!A$6:A$35,C30,'Bonus Balances'!B$6:B$35,B30,'Bonus Balances'!I$6:I$35,"Ready")=1,WORKDAY(MAX(I30,SUMIFS('Bonus Balances'!G$6:G$35,'Bonus Balances'!A$6:A$35,C30,'Bonus Balances'!B$6:B$35,B30),SUMIFS('Bonus Balances'!Q$6:Q$35,'Bonus Balances'!A$6:A$35,C30,'Bonus Balances'!B$6:B$35,B30)),5),"")),"")</x:f>
      </x:c>
      <x:c r="V30" s="30" t="str">
        <x:f>IF(A30="","",IF(OR(M30&lt;0,M30&gt;L30,X30&lt;0,AND(S30="Legacy meeting terms",X30&lt;&gt;0),AND(S30="Conditional bonus",OR(N30&lt;&gt;0,NOT(COUNTIFS('Bonus Balances'!A$6:A$35,C30,'Bonus Balances'!B$6:B$35,B30,'Bonus Balances'!W$6:W$35,"Valid")=1),X30&gt;MAX(0,M30-(L30-W30)),AND(M30&gt;0,NOT(COUNTIFS('Bonus Balances'!A$6:A$35,C30,'Bonus Balances'!B$6:B$35,B30,'Bonus Balances'!I$6:I$35,"Ready")=1))))),"Review payment / refund reconciliation",IF(L30=0,"Not payable: check eligibility / cap",IF(AND(S30="Conditional bonus",NOT(COUNTIFS('Bonus Balances'!A$6:A$35,C30,'Bonus Balances'!B$6:B$35,B30,'Bonus Balances'!I$6:I$35,"Ready")=1)),"Conditional: no payment due",IF(Y30&gt;0,"Recover bonus overpayment",IF(P30&gt;0,"Payable",IF(W30&gt;0,"Settled after refund","Paid")))))))</x:f>
      </x:c>
      <x:c r="W30" s="50" t="str">
        <x:f>IF(A30="","",IF(AND(S30="Conditional bonus",COUNTIFS('Bonus Balances'!A$6:A$35,C30,'Bonus Balances'!B$6:B$35,B30,'Bonus Balances'!W$6:W$35,"Valid")=1),ROUND(L30*SUMIFS('Bonus Balances'!R$6:R$35,'Bonus Balances'!A$6:A$35,C30,'Bonus Balances'!B$6:B$35,B30),2),0))</x:f>
      </x:c>
      <x:c r="X30" s="37"/>
      <x:c r="Y30" s="37" t="str">
        <x:f>IF(A30="","",IF(S30="Conditional bonus",ROUND(MAX(0,M30-(L30-W30)-X30),2),0))</x:f>
      </x:c>
    </x:row>
    <x:row r="31" ht="28" customHeight="1">
      <x:c r="A31" s="11"/>
      <x:c r="B31" s="11"/>
      <x:c r="C31" s="11"/>
      <x:c r="D31" s="11"/>
      <x:c r="E31" s="13"/>
      <x:c r="F31" s="15" t="str">
        <x:f>IF(E31="","",E31+60)</x:f>
      </x:c>
      <x:c r="G31" s="13"/>
      <x:c r="H31" s="13"/>
      <x:c r="I31" s="13"/>
      <x:c r="J31" s="11"/>
      <x:c r="K31" s="11"/>
      <x:c r="L31" s="16" t="str">
        <x:f>IF(A31="","",IF(AND(T31="Qualifies",COUNTIFS(B$6:B31,B31,C$6:C31,C31,T$6:T31,"Qualifies")&lt;=4),100,0))</x:f>
      </x:c>
      <x:c r="M31" s="17"/>
      <x:c r="N31" s="17"/>
      <x:c r="O31" s="16" t="str">
        <x:f>IF(A31="","",IF(S31="Legacy meeting terms",MAX(0,M31-N31),0))</x:f>
      </x:c>
      <x:c r="P31" s="16" t="str">
        <x:f>IF(A31="","",IF(S31="Legacy meeting terms",MAX(0,L31-M31),IF(AND(S31="Conditional bonus",COUNTIFS('Bonus Balances'!A$6:A$35,C31,'Bonus Balances'!B$6:B$35,B31,'Bonus Balances'!I$6:I$35,"Ready")=1,COUNTIFS('Bonus Balances'!A$6:A$35,C31,'Bonus Balances'!B$6:B$35,B31,'Bonus Balances'!W$6:W$35,"Valid")=1,M31&gt;=0,M31&lt;=L31,X31&gt;=0,X31&lt;=MAX(0,M31-(L31-W31))),ROUND(MAX(0,L31-W31-M31+X31),2),0)))</x:f>
      </x:c>
      <x:c r="Q31" s="13"/>
      <x:c r="R31" s="11"/>
      <x:c r="S31" s="27"/>
      <x:c r="T31" s="30" t="str">
        <x:f>IF(A31="","",IF(AND(AND(J31="Confirmed",B31&lt;&gt;"",C31&lt;&gt;"",D31&lt;&gt;"",ISNUMBER(E31),ISNUMBER(G31),ISNUMBER(H31),ISNUMBER(I31),K31&lt;&gt;"",R31&lt;&gt;"",G31&gt;=E31,G31&lt;F31,H31&lt;=G31,I31&gt;=G31),OR(S31="Conditional bonus",S31="Legacy meeting terms"),COUNTIF(A$6:A31,A31)=1,COUNTIFS(C$6:C31,C31,D$6:D31,D31)=1,IF(S31="Conditional bonus",COUNTIFS(D$6:D31,D31,S$6:S31,"Conditional bonus")=1,TRUE),IF(S31="Conditional bonus",AND(COUNTIFS('Bonus Balances'!A$6:A$35,C31,'Bonus Balances'!B$6:B$35,B31)=1,SUMIFS('Bonus Balances'!C$6:C$35,'Bonus Balances'!A$6:A$35,C31,'Bonus Balances'!B$6:B$35,B31)=E31,SUMIFS('Bonus Balances'!C$6:C$35,'Bonus Balances'!A$6:A$35,C31,'Bonus Balances'!B$6:B$35,B31)&gt;0,COUNTIFS('Bonus Balances'!A$6:A$35,C31,'Bonus Balances'!B$6:B$35,B31,'Bonus Balances'!E$6:E$35,"&lt;&gt;")=1),TRUE)),"Qualifies","Review / not eligible"))</x:f>
      </x:c>
      <x:c r="U31" s="29" t="str">
        <x:f>IF(AND(L31&gt;0,ISNUMBER(I31)),IF(S31="Legacy meeting terms",WORKDAY(I31,5),IF(COUNTIFS('Bonus Balances'!A$6:A$35,C31,'Bonus Balances'!B$6:B$35,B31,'Bonus Balances'!I$6:I$35,"Ready")=1,WORKDAY(MAX(I31,SUMIFS('Bonus Balances'!G$6:G$35,'Bonus Balances'!A$6:A$35,C31,'Bonus Balances'!B$6:B$35,B31),SUMIFS('Bonus Balances'!Q$6:Q$35,'Bonus Balances'!A$6:A$35,C31,'Bonus Balances'!B$6:B$35,B31)),5),"")),"")</x:f>
      </x:c>
      <x:c r="V31" s="30" t="str">
        <x:f>IF(A31="","",IF(OR(M31&lt;0,M31&gt;L31,X31&lt;0,AND(S31="Legacy meeting terms",X31&lt;&gt;0),AND(S31="Conditional bonus",OR(N31&lt;&gt;0,NOT(COUNTIFS('Bonus Balances'!A$6:A$35,C31,'Bonus Balances'!B$6:B$35,B31,'Bonus Balances'!W$6:W$35,"Valid")=1),X31&gt;MAX(0,M31-(L31-W31)),AND(M31&gt;0,NOT(COUNTIFS('Bonus Balances'!A$6:A$35,C31,'Bonus Balances'!B$6:B$35,B31,'Bonus Balances'!I$6:I$35,"Ready")=1))))),"Review payment / refund reconciliation",IF(L31=0,"Not payable: check eligibility / cap",IF(AND(S31="Conditional bonus",NOT(COUNTIFS('Bonus Balances'!A$6:A$35,C31,'Bonus Balances'!B$6:B$35,B31,'Bonus Balances'!I$6:I$35,"Ready")=1)),"Conditional: no payment due",IF(Y31&gt;0,"Recover bonus overpayment",IF(P31&gt;0,"Payable",IF(W31&gt;0,"Settled after refund","Paid")))))))</x:f>
      </x:c>
      <x:c r="W31" s="50" t="str">
        <x:f>IF(A31="","",IF(AND(S31="Conditional bonus",COUNTIFS('Bonus Balances'!A$6:A$35,C31,'Bonus Balances'!B$6:B$35,B31,'Bonus Balances'!W$6:W$35,"Valid")=1),ROUND(L31*SUMIFS('Bonus Balances'!R$6:R$35,'Bonus Balances'!A$6:A$35,C31,'Bonus Balances'!B$6:B$35,B31),2),0))</x:f>
      </x:c>
      <x:c r="X31" s="37"/>
      <x:c r="Y31" s="37" t="str">
        <x:f>IF(A31="","",IF(S31="Conditional bonus",ROUND(MAX(0,M31-(L31-W31)-X31),2),0))</x:f>
      </x:c>
    </x:row>
    <x:row r="32" ht="28" customHeight="1">
      <x:c r="A32" s="11"/>
      <x:c r="B32" s="11"/>
      <x:c r="C32" s="11"/>
      <x:c r="D32" s="11"/>
      <x:c r="E32" s="13"/>
      <x:c r="F32" s="15" t="str">
        <x:f>IF(E32="","",E32+60)</x:f>
      </x:c>
      <x:c r="G32" s="13"/>
      <x:c r="H32" s="13"/>
      <x:c r="I32" s="13"/>
      <x:c r="J32" s="11"/>
      <x:c r="K32" s="11"/>
      <x:c r="L32" s="16" t="str">
        <x:f>IF(A32="","",IF(AND(T32="Qualifies",COUNTIFS(B$6:B32,B32,C$6:C32,C32,T$6:T32,"Qualifies")&lt;=4),100,0))</x:f>
      </x:c>
      <x:c r="M32" s="17"/>
      <x:c r="N32" s="17"/>
      <x:c r="O32" s="16" t="str">
        <x:f>IF(A32="","",IF(S32="Legacy meeting terms",MAX(0,M32-N32),0))</x:f>
      </x:c>
      <x:c r="P32" s="16" t="str">
        <x:f>IF(A32="","",IF(S32="Legacy meeting terms",MAX(0,L32-M32),IF(AND(S32="Conditional bonus",COUNTIFS('Bonus Balances'!A$6:A$35,C32,'Bonus Balances'!B$6:B$35,B32,'Bonus Balances'!I$6:I$35,"Ready")=1,COUNTIFS('Bonus Balances'!A$6:A$35,C32,'Bonus Balances'!B$6:B$35,B32,'Bonus Balances'!W$6:W$35,"Valid")=1,M32&gt;=0,M32&lt;=L32,X32&gt;=0,X32&lt;=MAX(0,M32-(L32-W32))),ROUND(MAX(0,L32-W32-M32+X32),2),0)))</x:f>
      </x:c>
      <x:c r="Q32" s="13"/>
      <x:c r="R32" s="11"/>
      <x:c r="S32" s="27"/>
      <x:c r="T32" s="30" t="str">
        <x:f>IF(A32="","",IF(AND(AND(J32="Confirmed",B32&lt;&gt;"",C32&lt;&gt;"",D32&lt;&gt;"",ISNUMBER(E32),ISNUMBER(G32),ISNUMBER(H32),ISNUMBER(I32),K32&lt;&gt;"",R32&lt;&gt;"",G32&gt;=E32,G32&lt;F32,H32&lt;=G32,I32&gt;=G32),OR(S32="Conditional bonus",S32="Legacy meeting terms"),COUNTIF(A$6:A32,A32)=1,COUNTIFS(C$6:C32,C32,D$6:D32,D32)=1,IF(S32="Conditional bonus",COUNTIFS(D$6:D32,D32,S$6:S32,"Conditional bonus")=1,TRUE),IF(S32="Conditional bonus",AND(COUNTIFS('Bonus Balances'!A$6:A$35,C32,'Bonus Balances'!B$6:B$35,B32)=1,SUMIFS('Bonus Balances'!C$6:C$35,'Bonus Balances'!A$6:A$35,C32,'Bonus Balances'!B$6:B$35,B32)=E32,SUMIFS('Bonus Balances'!C$6:C$35,'Bonus Balances'!A$6:A$35,C32,'Bonus Balances'!B$6:B$35,B32)&gt;0,COUNTIFS('Bonus Balances'!A$6:A$35,C32,'Bonus Balances'!B$6:B$35,B32,'Bonus Balances'!E$6:E$35,"&lt;&gt;")=1),TRUE)),"Qualifies","Review / not eligible"))</x:f>
      </x:c>
      <x:c r="U32" s="29" t="str">
        <x:f>IF(AND(L32&gt;0,ISNUMBER(I32)),IF(S32="Legacy meeting terms",WORKDAY(I32,5),IF(COUNTIFS('Bonus Balances'!A$6:A$35,C32,'Bonus Balances'!B$6:B$35,B32,'Bonus Balances'!I$6:I$35,"Ready")=1,WORKDAY(MAX(I32,SUMIFS('Bonus Balances'!G$6:G$35,'Bonus Balances'!A$6:A$35,C32,'Bonus Balances'!B$6:B$35,B32),SUMIFS('Bonus Balances'!Q$6:Q$35,'Bonus Balances'!A$6:A$35,C32,'Bonus Balances'!B$6:B$35,B32)),5),"")),"")</x:f>
      </x:c>
      <x:c r="V32" s="30" t="str">
        <x:f>IF(A32="","",IF(OR(M32&lt;0,M32&gt;L32,X32&lt;0,AND(S32="Legacy meeting terms",X32&lt;&gt;0),AND(S32="Conditional bonus",OR(N32&lt;&gt;0,NOT(COUNTIFS('Bonus Balances'!A$6:A$35,C32,'Bonus Balances'!B$6:B$35,B32,'Bonus Balances'!W$6:W$35,"Valid")=1),X32&gt;MAX(0,M32-(L32-W32)),AND(M32&gt;0,NOT(COUNTIFS('Bonus Balances'!A$6:A$35,C32,'Bonus Balances'!B$6:B$35,B32,'Bonus Balances'!I$6:I$35,"Ready")=1))))),"Review payment / refund reconciliation",IF(L32=0,"Not payable: check eligibility / cap",IF(AND(S32="Conditional bonus",NOT(COUNTIFS('Bonus Balances'!A$6:A$35,C32,'Bonus Balances'!B$6:B$35,B32,'Bonus Balances'!I$6:I$35,"Ready")=1)),"Conditional: no payment due",IF(Y32&gt;0,"Recover bonus overpayment",IF(P32&gt;0,"Payable",IF(W32&gt;0,"Settled after refund","Paid")))))))</x:f>
      </x:c>
      <x:c r="W32" s="50" t="str">
        <x:f>IF(A32="","",IF(AND(S32="Conditional bonus",COUNTIFS('Bonus Balances'!A$6:A$35,C32,'Bonus Balances'!B$6:B$35,B32,'Bonus Balances'!W$6:W$35,"Valid")=1),ROUND(L32*SUMIFS('Bonus Balances'!R$6:R$35,'Bonus Balances'!A$6:A$35,C32,'Bonus Balances'!B$6:B$35,B32),2),0))</x:f>
      </x:c>
      <x:c r="X32" s="37"/>
      <x:c r="Y32" s="37" t="str">
        <x:f>IF(A32="","",IF(S32="Conditional bonus",ROUND(MAX(0,M32-(L32-W32)-X32),2),0))</x:f>
      </x:c>
    </x:row>
    <x:row r="33" ht="28" customHeight="1">
      <x:c r="A33" s="11"/>
      <x:c r="B33" s="11"/>
      <x:c r="C33" s="11"/>
      <x:c r="D33" s="11"/>
      <x:c r="E33" s="13"/>
      <x:c r="F33" s="15" t="str">
        <x:f>IF(E33="","",E33+60)</x:f>
      </x:c>
      <x:c r="G33" s="13"/>
      <x:c r="H33" s="13"/>
      <x:c r="I33" s="13"/>
      <x:c r="J33" s="11"/>
      <x:c r="K33" s="11"/>
      <x:c r="L33" s="16" t="str">
        <x:f>IF(A33="","",IF(AND(T33="Qualifies",COUNTIFS(B$6:B33,B33,C$6:C33,C33,T$6:T33,"Qualifies")&lt;=4),100,0))</x:f>
      </x:c>
      <x:c r="M33" s="17"/>
      <x:c r="N33" s="17"/>
      <x:c r="O33" s="16" t="str">
        <x:f>IF(A33="","",IF(S33="Legacy meeting terms",MAX(0,M33-N33),0))</x:f>
      </x:c>
      <x:c r="P33" s="16" t="str">
        <x:f>IF(A33="","",IF(S33="Legacy meeting terms",MAX(0,L33-M33),IF(AND(S33="Conditional bonus",COUNTIFS('Bonus Balances'!A$6:A$35,C33,'Bonus Balances'!B$6:B$35,B33,'Bonus Balances'!I$6:I$35,"Ready")=1,COUNTIFS('Bonus Balances'!A$6:A$35,C33,'Bonus Balances'!B$6:B$35,B33,'Bonus Balances'!W$6:W$35,"Valid")=1,M33&gt;=0,M33&lt;=L33,X33&gt;=0,X33&lt;=MAX(0,M33-(L33-W33))),ROUND(MAX(0,L33-W33-M33+X33),2),0)))</x:f>
      </x:c>
      <x:c r="Q33" s="13"/>
      <x:c r="R33" s="11"/>
      <x:c r="S33" s="27"/>
      <x:c r="T33" s="30" t="str">
        <x:f>IF(A33="","",IF(AND(AND(J33="Confirmed",B33&lt;&gt;"",C33&lt;&gt;"",D33&lt;&gt;"",ISNUMBER(E33),ISNUMBER(G33),ISNUMBER(H33),ISNUMBER(I33),K33&lt;&gt;"",R33&lt;&gt;"",G33&gt;=E33,G33&lt;F33,H33&lt;=G33,I33&gt;=G33),OR(S33="Conditional bonus",S33="Legacy meeting terms"),COUNTIF(A$6:A33,A33)=1,COUNTIFS(C$6:C33,C33,D$6:D33,D33)=1,IF(S33="Conditional bonus",COUNTIFS(D$6:D33,D33,S$6:S33,"Conditional bonus")=1,TRUE),IF(S33="Conditional bonus",AND(COUNTIFS('Bonus Balances'!A$6:A$35,C33,'Bonus Balances'!B$6:B$35,B33)=1,SUMIFS('Bonus Balances'!C$6:C$35,'Bonus Balances'!A$6:A$35,C33,'Bonus Balances'!B$6:B$35,B33)=E33,SUMIFS('Bonus Balances'!C$6:C$35,'Bonus Balances'!A$6:A$35,C33,'Bonus Balances'!B$6:B$35,B33)&gt;0,COUNTIFS('Bonus Balances'!A$6:A$35,C33,'Bonus Balances'!B$6:B$35,B33,'Bonus Balances'!E$6:E$35,"&lt;&gt;")=1),TRUE)),"Qualifies","Review / not eligible"))</x:f>
      </x:c>
      <x:c r="U33" s="29" t="str">
        <x:f>IF(AND(L33&gt;0,ISNUMBER(I33)),IF(S33="Legacy meeting terms",WORKDAY(I33,5),IF(COUNTIFS('Bonus Balances'!A$6:A$35,C33,'Bonus Balances'!B$6:B$35,B33,'Bonus Balances'!I$6:I$35,"Ready")=1,WORKDAY(MAX(I33,SUMIFS('Bonus Balances'!G$6:G$35,'Bonus Balances'!A$6:A$35,C33,'Bonus Balances'!B$6:B$35,B33),SUMIFS('Bonus Balances'!Q$6:Q$35,'Bonus Balances'!A$6:A$35,C33,'Bonus Balances'!B$6:B$35,B33)),5),"")),"")</x:f>
      </x:c>
      <x:c r="V33" s="30" t="str">
        <x:f>IF(A33="","",IF(OR(M33&lt;0,M33&gt;L33,X33&lt;0,AND(S33="Legacy meeting terms",X33&lt;&gt;0),AND(S33="Conditional bonus",OR(N33&lt;&gt;0,NOT(COUNTIFS('Bonus Balances'!A$6:A$35,C33,'Bonus Balances'!B$6:B$35,B33,'Bonus Balances'!W$6:W$35,"Valid")=1),X33&gt;MAX(0,M33-(L33-W33)),AND(M33&gt;0,NOT(COUNTIFS('Bonus Balances'!A$6:A$35,C33,'Bonus Balances'!B$6:B$35,B33,'Bonus Balances'!I$6:I$35,"Ready")=1))))),"Review payment / refund reconciliation",IF(L33=0,"Not payable: check eligibility / cap",IF(AND(S33="Conditional bonus",NOT(COUNTIFS('Bonus Balances'!A$6:A$35,C33,'Bonus Balances'!B$6:B$35,B33,'Bonus Balances'!I$6:I$35,"Ready")=1)),"Conditional: no payment due",IF(Y33&gt;0,"Recover bonus overpayment",IF(P33&gt;0,"Payable",IF(W33&gt;0,"Settled after refund","Paid")))))))</x:f>
      </x:c>
      <x:c r="W33" s="50" t="str">
        <x:f>IF(A33="","",IF(AND(S33="Conditional bonus",COUNTIFS('Bonus Balances'!A$6:A$35,C33,'Bonus Balances'!B$6:B$35,B33,'Bonus Balances'!W$6:W$35,"Valid")=1),ROUND(L33*SUMIFS('Bonus Balances'!R$6:R$35,'Bonus Balances'!A$6:A$35,C33,'Bonus Balances'!B$6:B$35,B33),2),0))</x:f>
      </x:c>
      <x:c r="X33" s="37"/>
      <x:c r="Y33" s="37" t="str">
        <x:f>IF(A33="","",IF(S33="Conditional bonus",ROUND(MAX(0,M33-(L33-W33)-X33),2),0))</x:f>
      </x:c>
    </x:row>
    <x:row r="34" ht="28" customHeight="1">
      <x:c r="A34" s="11"/>
      <x:c r="B34" s="11"/>
      <x:c r="C34" s="11"/>
      <x:c r="D34" s="11"/>
      <x:c r="E34" s="13"/>
      <x:c r="F34" s="15" t="str">
        <x:f>IF(E34="","",E34+60)</x:f>
      </x:c>
      <x:c r="G34" s="13"/>
      <x:c r="H34" s="13"/>
      <x:c r="I34" s="13"/>
      <x:c r="J34" s="11"/>
      <x:c r="K34" s="11"/>
      <x:c r="L34" s="16" t="str">
        <x:f>IF(A34="","",IF(AND(T34="Qualifies",COUNTIFS(B$6:B34,B34,C$6:C34,C34,T$6:T34,"Qualifies")&lt;=4),100,0))</x:f>
      </x:c>
      <x:c r="M34" s="17"/>
      <x:c r="N34" s="17"/>
      <x:c r="O34" s="16" t="str">
        <x:f>IF(A34="","",IF(S34="Legacy meeting terms",MAX(0,M34-N34),0))</x:f>
      </x:c>
      <x:c r="P34" s="16" t="str">
        <x:f>IF(A34="","",IF(S34="Legacy meeting terms",MAX(0,L34-M34),IF(AND(S34="Conditional bonus",COUNTIFS('Bonus Balances'!A$6:A$35,C34,'Bonus Balances'!B$6:B$35,B34,'Bonus Balances'!I$6:I$35,"Ready")=1,COUNTIFS('Bonus Balances'!A$6:A$35,C34,'Bonus Balances'!B$6:B$35,B34,'Bonus Balances'!W$6:W$35,"Valid")=1,M34&gt;=0,M34&lt;=L34,X34&gt;=0,X34&lt;=MAX(0,M34-(L34-W34))),ROUND(MAX(0,L34-W34-M34+X34),2),0)))</x:f>
      </x:c>
      <x:c r="Q34" s="13"/>
      <x:c r="R34" s="11"/>
      <x:c r="S34" s="27"/>
      <x:c r="T34" s="30" t="str">
        <x:f>IF(A34="","",IF(AND(AND(J34="Confirmed",B34&lt;&gt;"",C34&lt;&gt;"",D34&lt;&gt;"",ISNUMBER(E34),ISNUMBER(G34),ISNUMBER(H34),ISNUMBER(I34),K34&lt;&gt;"",R34&lt;&gt;"",G34&gt;=E34,G34&lt;F34,H34&lt;=G34,I34&gt;=G34),OR(S34="Conditional bonus",S34="Legacy meeting terms"),COUNTIF(A$6:A34,A34)=1,COUNTIFS(C$6:C34,C34,D$6:D34,D34)=1,IF(S34="Conditional bonus",COUNTIFS(D$6:D34,D34,S$6:S34,"Conditional bonus")=1,TRUE),IF(S34="Conditional bonus",AND(COUNTIFS('Bonus Balances'!A$6:A$35,C34,'Bonus Balances'!B$6:B$35,B34)=1,SUMIFS('Bonus Balances'!C$6:C$35,'Bonus Balances'!A$6:A$35,C34,'Bonus Balances'!B$6:B$35,B34)=E34,SUMIFS('Bonus Balances'!C$6:C$35,'Bonus Balances'!A$6:A$35,C34,'Bonus Balances'!B$6:B$35,B34)&gt;0,COUNTIFS('Bonus Balances'!A$6:A$35,C34,'Bonus Balances'!B$6:B$35,B34,'Bonus Balances'!E$6:E$35,"&lt;&gt;")=1),TRUE)),"Qualifies","Review / not eligible"))</x:f>
      </x:c>
      <x:c r="U34" s="29" t="str">
        <x:f>IF(AND(L34&gt;0,ISNUMBER(I34)),IF(S34="Legacy meeting terms",WORKDAY(I34,5),IF(COUNTIFS('Bonus Balances'!A$6:A$35,C34,'Bonus Balances'!B$6:B$35,B34,'Bonus Balances'!I$6:I$35,"Ready")=1,WORKDAY(MAX(I34,SUMIFS('Bonus Balances'!G$6:G$35,'Bonus Balances'!A$6:A$35,C34,'Bonus Balances'!B$6:B$35,B34),SUMIFS('Bonus Balances'!Q$6:Q$35,'Bonus Balances'!A$6:A$35,C34,'Bonus Balances'!B$6:B$35,B34)),5),"")),"")</x:f>
      </x:c>
      <x:c r="V34" s="30" t="str">
        <x:f>IF(A34="","",IF(OR(M34&lt;0,M34&gt;L34,X34&lt;0,AND(S34="Legacy meeting terms",X34&lt;&gt;0),AND(S34="Conditional bonus",OR(N34&lt;&gt;0,NOT(COUNTIFS('Bonus Balances'!A$6:A$35,C34,'Bonus Balances'!B$6:B$35,B34,'Bonus Balances'!W$6:W$35,"Valid")=1),X34&gt;MAX(0,M34-(L34-W34)),AND(M34&gt;0,NOT(COUNTIFS('Bonus Balances'!A$6:A$35,C34,'Bonus Balances'!B$6:B$35,B34,'Bonus Balances'!I$6:I$35,"Ready")=1))))),"Review payment / refund reconciliation",IF(L34=0,"Not payable: check eligibility / cap",IF(AND(S34="Conditional bonus",NOT(COUNTIFS('Bonus Balances'!A$6:A$35,C34,'Bonus Balances'!B$6:B$35,B34,'Bonus Balances'!I$6:I$35,"Ready")=1)),"Conditional: no payment due",IF(Y34&gt;0,"Recover bonus overpayment",IF(P34&gt;0,"Payable",IF(W34&gt;0,"Settled after refund","Paid")))))))</x:f>
      </x:c>
      <x:c r="W34" s="50" t="str">
        <x:f>IF(A34="","",IF(AND(S34="Conditional bonus",COUNTIFS('Bonus Balances'!A$6:A$35,C34,'Bonus Balances'!B$6:B$35,B34,'Bonus Balances'!W$6:W$35,"Valid")=1),ROUND(L34*SUMIFS('Bonus Balances'!R$6:R$35,'Bonus Balances'!A$6:A$35,C34,'Bonus Balances'!B$6:B$35,B34),2),0))</x:f>
      </x:c>
      <x:c r="X34" s="37"/>
      <x:c r="Y34" s="37" t="str">
        <x:f>IF(A34="","",IF(S34="Conditional bonus",ROUND(MAX(0,M34-(L34-W34)-X34),2),0))</x:f>
      </x:c>
    </x:row>
    <x:row r="35" ht="28" customHeight="1">
      <x:c r="A35" s="12"/>
      <x:c r="B35" s="12"/>
      <x:c r="C35" s="12"/>
      <x:c r="D35" s="12"/>
      <x:c r="E35" s="14"/>
      <x:c r="F35" s="15" t="str">
        <x:f>IF(E35="","",E35+60)</x:f>
      </x:c>
      <x:c r="G35" s="14"/>
      <x:c r="H35" s="14"/>
      <x:c r="I35" s="14"/>
      <x:c r="J35" s="12"/>
      <x:c r="K35" s="12"/>
      <x:c r="L35" s="16" t="str">
        <x:f>IF(A35="","",IF(AND(T35="Qualifies",COUNTIFS(B$6:B35,B35,C$6:C35,C35,T$6:T35,"Qualifies")&lt;=4),100,0))</x:f>
      </x:c>
      <x:c r="M35" s="18"/>
      <x:c r="N35" s="18"/>
      <x:c r="O35" s="16" t="str">
        <x:f>IF(A35="","",IF(S35="Legacy meeting terms",MAX(0,M35-N35),0))</x:f>
      </x:c>
      <x:c r="P35" s="16" t="str">
        <x:f>IF(A35="","",IF(S35="Legacy meeting terms",MAX(0,L35-M35),IF(AND(S35="Conditional bonus",COUNTIFS('Bonus Balances'!A$6:A$35,C35,'Bonus Balances'!B$6:B$35,B35,'Bonus Balances'!I$6:I$35,"Ready")=1,COUNTIFS('Bonus Balances'!A$6:A$35,C35,'Bonus Balances'!B$6:B$35,B35,'Bonus Balances'!W$6:W$35,"Valid")=1,M35&gt;=0,M35&lt;=L35,X35&gt;=0,X35&lt;=MAX(0,M35-(L35-W35))),ROUND(MAX(0,L35-W35-M35+X35),2),0)))</x:f>
      </x:c>
      <x:c r="Q35" s="14"/>
      <x:c r="R35" s="12"/>
      <x:c r="S35" s="32"/>
      <x:c r="T35" s="30" t="str">
        <x:f>IF(A35="","",IF(AND(AND(J35="Confirmed",B35&lt;&gt;"",C35&lt;&gt;"",D35&lt;&gt;"",ISNUMBER(E35),ISNUMBER(G35),ISNUMBER(H35),ISNUMBER(I35),K35&lt;&gt;"",R35&lt;&gt;"",G35&gt;=E35,G35&lt;F35,H35&lt;=G35,I35&gt;=G35),OR(S35="Conditional bonus",S35="Legacy meeting terms"),COUNTIF(A$6:A35,A35)=1,COUNTIFS(C$6:C35,C35,D$6:D35,D35)=1,IF(S35="Conditional bonus",COUNTIFS(D$6:D35,D35,S$6:S35,"Conditional bonus")=1,TRUE),IF(S35="Conditional bonus",AND(COUNTIFS('Bonus Balances'!A$6:A$35,C35,'Bonus Balances'!B$6:B$35,B35)=1,SUMIFS('Bonus Balances'!C$6:C$35,'Bonus Balances'!A$6:A$35,C35,'Bonus Balances'!B$6:B$35,B35)=E35,SUMIFS('Bonus Balances'!C$6:C$35,'Bonus Balances'!A$6:A$35,C35,'Bonus Balances'!B$6:B$35,B35)&gt;0,COUNTIFS('Bonus Balances'!A$6:A$35,C35,'Bonus Balances'!B$6:B$35,B35,'Bonus Balances'!E$6:E$35,"&lt;&gt;")=1),TRUE)),"Qualifies","Review / not eligible"))</x:f>
      </x:c>
      <x:c r="U35" s="29" t="str">
        <x:f>IF(AND(L35&gt;0,ISNUMBER(I35)),IF(S35="Legacy meeting terms",WORKDAY(I35,5),IF(COUNTIFS('Bonus Balances'!A$6:A$35,C35,'Bonus Balances'!B$6:B$35,B35,'Bonus Balances'!I$6:I$35,"Ready")=1,WORKDAY(MAX(I35,SUMIFS('Bonus Balances'!G$6:G$35,'Bonus Balances'!A$6:A$35,C35,'Bonus Balances'!B$6:B$35,B35),SUMIFS('Bonus Balances'!Q$6:Q$35,'Bonus Balances'!A$6:A$35,C35,'Bonus Balances'!B$6:B$35,B35)),5),"")),"")</x:f>
      </x:c>
      <x:c r="V35" s="30" t="str">
        <x:f>IF(A35="","",IF(OR(M35&lt;0,M35&gt;L35,X35&lt;0,AND(S35="Legacy meeting terms",X35&lt;&gt;0),AND(S35="Conditional bonus",OR(N35&lt;&gt;0,NOT(COUNTIFS('Bonus Balances'!A$6:A$35,C35,'Bonus Balances'!B$6:B$35,B35,'Bonus Balances'!W$6:W$35,"Valid")=1),X35&gt;MAX(0,M35-(L35-W35)),AND(M35&gt;0,NOT(COUNTIFS('Bonus Balances'!A$6:A$35,C35,'Bonus Balances'!B$6:B$35,B35,'Bonus Balances'!I$6:I$35,"Ready")=1))))),"Review payment / refund reconciliation",IF(L35=0,"Not payable: check eligibility / cap",IF(AND(S35="Conditional bonus",NOT(COUNTIFS('Bonus Balances'!A$6:A$35,C35,'Bonus Balances'!B$6:B$35,B35,'Bonus Balances'!I$6:I$35,"Ready")=1)),"Conditional: no payment due",IF(Y35&gt;0,"Recover bonus overpayment",IF(P35&gt;0,"Payable",IF(W35&gt;0,"Settled after refund","Paid")))))))</x:f>
      </x:c>
      <x:c r="W35" s="50" t="str">
        <x:f>IF(A35="","",IF(AND(S35="Conditional bonus",COUNTIFS('Bonus Balances'!A$6:A$35,C35,'Bonus Balances'!B$6:B$35,B35,'Bonus Balances'!W$6:W$35,"Valid")=1),ROUND(L35*SUMIFS('Bonus Balances'!R$6:R$35,'Bonus Balances'!A$6:A$35,C35,'Bonus Balances'!B$6:B$35,B35),2),0))</x:f>
      </x:c>
      <x:c r="X35" s="38"/>
      <x:c r="Y35" s="37" t="str">
        <x:f>IF(A35="","",IF(S35="Conditional bonus",ROUND(MAX(0,M35-(L35-W35)-X35),2),0))</x:f>
      </x:c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>
      <x:c r="A38" s="2" t="str">
        <x:v>One conditional bonus per unique opportunity across pilots. First four qualifying rows per partner/pilot earn $100 each. Keep rows in confirmation order; later qualified meetings may unlock the balance.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>
      <x:c r="A39" s="2" t="str">
        <x:v>New bonuses: conditional until Bonus Balances verifies the accepted pilot deal and first eligible cleared receipt. Payable P, due U; record actual payout M/Q/evidence R.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>
      <x:c r="A40" s="2" t="str">
        <x:v>Conditional bonus refunds use Bonus Balances R/S. W reduces each bonus; X records an actual recovery or agreed offset once, with evidence in R and the balance reconciliation. Y shows remaining recovery. Do not change gross bonus paid M to conceal history.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>
      <x:c r="A41" t="str">
        <x:v>Ordinary commission is adjusted separately in Payments I. Conditional bonuses are additional, never commission credits. Legacy meeting terms keep their original payout/credit rules. Blue/green formulas recalculate; amber inputs require evidence and review.</x:v>
      </x:c>
    </x:row>
  </x:sheetData>
  <x:dataValidations count="4">
    <x:dataValidation type="list" sqref="J6:J35">
      <x:formula1>"Proposed,Pre-approved,Completed / reviewing,Confirmed,Declined,No-show,Cancelled"</x:formula1>
    </x:dataValidation>
    <x:dataValidation type="none" sqref="T6:V35"/>
    <x:dataValidation type="list" sqref="S6:S35">
      <x:formula1>"Conditional bonus,Legacy meeting terms"</x:formula1>
    </x:dataValidation>
    <x:dataValidation type="none" sqref="W6:Y35"/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2" ySplit="5" topLeftCell="C6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42" hidden="0" customWidth="1"/>
    <x:col min="6" max="6" width="25" hidden="0" customWidth="1"/>
    <x:col min="7" max="7" width="25" hidden="0" customWidth="1"/>
    <x:col min="8" max="8" width="40" hidden="0" customWidth="1"/>
    <x:col min="9" max="9" width="40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45" hidden="0" customWidth="1"/>
    <x:col min="16" max="16" width="25" hidden="0" customWidth="1"/>
    <x:col min="17" max="17" width="28" hidden="0" customWidth="1"/>
    <x:col min="18" max="18" width="30" hidden="0" customWidth="1"/>
    <x:col min="19" max="19" width="48" hidden="0" customWidth="1"/>
    <x:col min="20" max="20" width="30" hidden="0" customWidth="1"/>
    <x:col min="21" max="21" width="30" hidden="0" customWidth="1"/>
    <x:col min="22" max="22" width="30" hidden="0" customWidth="1"/>
    <x:col min="23" max="23" width="30" hidden="0" customWidth="1"/>
    <x:col min="24" max="24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/>
      <x:c r="M1"/>
      <x:c r="N1"/>
      <x:c r="O1"/>
      <x:c r="P1"/>
    </x:row>
    <x:row r="2">
      <x:c r="A2" s="3" t="str">
        <x:v>Conditional meeting bonus balances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/>
      <x:c r="M2"/>
      <x:c r="N2"/>
      <x:c r="O2"/>
      <x:c r="P2"/>
    </x:row>
    <x:row r="3">
      <x:c r="A3" s="4" t="str">
        <x:v>Private operating ledger • approvals and evidence required • ordinary commission stays in Payments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/>
      <x:c r="M3"/>
      <x:c r="N3"/>
      <x:c r="O3"/>
      <x:c r="P3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/>
      <x:c r="M4"/>
      <x:c r="N4"/>
      <x:c r="O4"/>
      <x:c r="P4"/>
    </x:row>
    <x:row r="5" ht="44" customHeight="1">
      <x:c r="A5" s="8" t="str">
        <x:v>Pilot ID</x:v>
      </x:c>
      <x:c r="B5" s="8" t="str">
        <x:v>Partner ID / email</x:v>
      </x:c>
      <x:c r="C5" s="8" t="str">
        <x:v>Pilot start</x:v>
      </x:c>
      <x:c r="D5" s="8" t="str">
        <x:v>Pilot end (exclusive)</x:v>
      </x:c>
      <x:c r="E5" s="8" t="str">
        <x:v>Pilot approval evidence</x:v>
      </x:c>
      <x:c r="F5" s="8" t="str">
        <x:v>Trigger referral ID</x:v>
      </x:c>
      <x:c r="G5" s="8" t="str">
        <x:v>First cleared payment</x:v>
      </x:c>
      <x:c r="H5" s="8" t="str">
        <x:v>Trigger approval evidence</x:v>
      </x:c>
      <x:c r="I5" s="8" t="str">
        <x:v>Trigger check</x:v>
      </x:c>
      <x:c r="J5" s="8" t="str">
        <x:v>Confirmed meetings</x:v>
      </x:c>
      <x:c r="K5" s="8" t="str">
        <x:v>Recorded bonuses USD</x:v>
      </x:c>
      <x:c r="L5" s="8" t="str">
        <x:v>Bonuses paid USD</x:v>
      </x:c>
      <x:c r="M5" s="8" t="str">
        <x:v>Payable balance USD</x:v>
      </x:c>
      <x:c r="N5" s="8" t="str">
        <x:v>Conditional balance USD</x:v>
      </x:c>
      <x:c r="O5" s="8" t="str">
        <x:v>State / reconciliation</x:v>
      </x:c>
      <x:c r="P5" s="8" t="str">
        <x:v>First payout due</x:v>
      </x:c>
      <x:c r="Q5" s="8" t="str">
        <x:v>Trigger meeting confirmed</x:v>
      </x:c>
      <x:c r="R5" s="8" t="str">
        <x:v>Reconciled refunded share</x:v>
      </x:c>
      <x:c r="S5" s="8" t="str">
        <x:v>Refund reconciliation evidence</x:v>
      </x:c>
      <x:c r="T5" s="8" t="str">
        <x:v>Bonus reduction USD</x:v>
      </x:c>
      <x:c r="U5" s="8" t="str">
        <x:v>Bonus recovered / offset USD</x:v>
      </x:c>
      <x:c r="V5" s="8" t="str">
        <x:v>Recovery outstanding USD</x:v>
      </x:c>
      <x:c r="W5" s="8" t="str">
        <x:v>Refund input check</x:v>
      </x:c>
      <x:c r="X5" s="8" t="str">
        <x:v>Net bonus entitlement USD</x:v>
      </x:c>
    </x:row>
    <x:row r="6" ht="42" customHeight="1">
      <x:c r="A6" s="27"/>
      <x:c r="B6" s="27"/>
      <x:c r="C6" s="28"/>
      <x:c r="D6" s="28" t="str">
        <x:f>IF(ISNUMBER(C6),C6+60,"")</x:f>
      </x:c>
      <x:c r="E6" s="27"/>
      <x:c r="F6" s="28"/>
      <x:c r="G6" s="28" t="str">
        <x:f>IF(OR(F6="",COUNTIF(Referrals!A$6:A$35,F6)&lt;&gt;1),"",IF(INDEX(Referrals!H$6:H$35,MATCH(F6,Referrals!A$6:A$35,0))&gt;0,INDEX(Referrals!H$6:H$35,MATCH(F6,Referrals!A$6:A$35,0)),""))</x:f>
      </x:c>
      <x:c r="H6" s="28"/>
      <x:c r="I6" s="39" t="str">
        <x:f>IF(A6="","",IF(OR(B6="",NOT(ISNUMBER(C6)),E6="",COUNTIFS(A$6:A$35,A6,B$6:B$35,B6)&lt;&gt;1),"Review pilot record",IF(OR(F6="",G6="",H6=""),"Awaiting eligible cleared payment",IF(AND(OR(INDEX(Referrals!B$6:B$35,MATCH(F6,Referrals!A$6:A$35,0))=B6,AND(INDEX(Referrals!Q$6:Q$35,MATCH(F6,Referrals!A$6:A$35,0))=B6,INDEX(Referrals!R$6:R$35,MATCH(F6,Referrals!A$6:A$35,0))&lt;&gt;"")),INDEX(Referrals!D$6:D$35,MATCH(F6,Referrals!A$6:A$35,0))="Outbound opportunity",ISNUMBER(G6),ISNUMBER(INDEX(Referrals!G$6:G$35,MATCH(F6,Referrals!A$6:A$35,0))),INDEX(Referrals!G$6:G$35,MATCH(F6,Referrals!A$6:A$35,0))&gt;0,INDEX(Referrals!G$6:G$35,MATCH(F6,Referrals!A$6:A$35,0))&lt;=G6,ISNUMBER(INDEX(Referrals!F$6:F$35,MATCH(F6,Referrals!A$6:A$35,0))),INDEX(Referrals!F$6:F$35,MATCH(F6,Referrals!A$6:A$35,0))&gt;0,G6&gt;=INDEX(Referrals!F$6:F$35,MATCH(F6,Referrals!A$6:A$35,0)),G6&lt;=EDATE(INDEX(Referrals!F$6:F$35,MATCH(F6,Referrals!A$6:A$35,0)),12),OR(INDEX(Referrals!E$6:E$35,MATCH(F6,Referrals!A$6:A$35,0))="Accepted",INDEX(Referrals!E$6:E$35,MATCH(F6,Referrals!A$6:A$35,0))="Proposal",INDEX(Referrals!E$6:E$35,MATCH(F6,Referrals!A$6:A$35,0))="Won",INDEX(Referrals!E$6:E$35,MATCH(F6,Referrals!A$6:A$35,0))="Closed"),COUNTIFS(Meetings!B$6:B$35,B6,Meetings!C$6:C$35,A6,Meetings!D$6:D$35,F6,Meetings!T$6:T$35,"Qualifies",Meetings!S$6:S$35,"Conditional bonus",Meetings!G$6:G$35,"&lt;="&amp;G6)=1,COUNTIFS(Payments!B$6:B$35,F6,Payments!E$6:E$35,G6,Payments!F$6:F$35,"&gt;0",Payments!N$6:N$35,"&lt;&gt;")&gt;0),"Ready","Review trigger evidence"))))</x:f>
      </x:c>
      <x:c r="J6" s="40" t="str">
        <x:f>IF(A6="","",COUNTIFS(Meetings!B$6:B$35,B6,Meetings!C$6:C$35,A6,Meetings!L$6:L$35,100,Meetings!S$6:S$35,"Conditional bonus"))</x:f>
      </x:c>
      <x:c r="K6" s="41" t="str">
        <x:f>IF(A6="","",SUMIFS(Meetings!L$6:L$35,Meetings!B$6:B$35,B6,Meetings!C$6:C$35,A6,Meetings!S$6:S$35,"Conditional bonus"))</x:f>
      </x:c>
      <x:c r="L6" s="41" t="str">
        <x:f>IF(A6="","",SUMIFS(Meetings!M$6:M$35,Meetings!B$6:B$35,B6,Meetings!C$6:C$35,A6,Meetings!S$6:S$35,"Conditional bonus"))</x:f>
      </x:c>
      <x:c r="M6" s="41" t="str">
        <x:f>IF(A6="","",IF(AND(I6="Ready",W6="Valid",COUNTIFS(Meetings!B$6:B$35,B6,Meetings!C$6:C$35,A6,Meetings!S$6:S$35,"Conditional bonus",Meetings!V$6:V$35,"Review payment / refund reconciliation")=0),SUMIFS(Meetings!P$6:P$35,Meetings!B$6:B$35,B6,Meetings!C$6:C$35,A6,Meetings!S$6:S$35,"Conditional bonus"),0))</x:f>
      </x:c>
      <x:c r="N6" s="41" t="str">
        <x:f>IF(A6="","",IF(AND(I6&lt;&gt;"Ready",W6="Valid"),MAX(0,K6-T6-L6+U6),0))</x:f>
      </x:c>
      <x:c r="O6" s="39" t="str">
        <x:f>IF(A6="","",IF(OR(W6&lt;&gt;"Valid",COUNTIFS(Meetings!B$6:B$35,B6,Meetings!C$6:C$35,A6,Meetings!S$6:S$35,"Conditional bonus",Meetings!V$6:V$35,"Review payment / refund reconciliation")&gt;0),"Review payments / refund reconciliation",IF(V6&gt;0,"Recovery outstanding; reconcile separately",IF(I6="Ready",IF(M6=0,"Settled / no outstanding bonus","Payable; reconcile individual due dates"),I6))))</x:f>
      </x:c>
      <x:c r="P6" s="39" t="str">
        <x:f>IF(AND(I6="Ready",K6&gt;0),WORKDAY(MAX(G6,Q6),5),"")</x:f>
      </x:c>
      <x:c r="Q6" s="39" t="str">
        <x:f>IF(I6="Ready",SUMIFS(Meetings!I$6:I$35,Meetings!B$6:B$35,B6,Meetings!C$6:C$35,A6,Meetings!D$6:D$35,F6,Meetings!T$6:T$35,"Qualifies",Meetings!S$6:S$35,"Conditional bonus"),"")</x:f>
      </x:c>
      <x:c r="R6" s="49"/>
      <x:c r="S6" s="30"/>
      <x:c r="T6" s="41" t="str">
        <x:f>IF(A6="","",SUMIFS(Meetings!W$6:W$35,Meetings!B$6:B$35,B6,Meetings!C$6:C$35,A6,Meetings!S$6:S$35,"Conditional bonus"))</x:f>
      </x:c>
      <x:c r="U6" s="41" t="str">
        <x:f>IF(A6="","",SUMIFS(Meetings!X$6:X$35,Meetings!B$6:B$35,B6,Meetings!C$6:C$35,A6,Meetings!S$6:S$35,"Conditional bonus"))</x:f>
      </x:c>
      <x:c r="V6" s="41" t="str">
        <x:f>IF(A6="","",SUMIFS(Meetings!Y$6:Y$35,Meetings!B$6:B$35,B6,Meetings!C$6:C$35,A6,Meetings!S$6:S$35,"Conditional bonus"))</x:f>
      </x:c>
      <x:c r="W6" s="48" t="str">
        <x:f>IF(A6="","",IF(OR(AND(R6&lt;&gt;"",NOT(ISNUMBER(R6))),R6&lt;0,R6&gt;1,AND(R6&gt;0,OR(S6="",I6&lt;&gt;"Ready"))),"Review refund basis / evidence","Valid"))</x:f>
      </x:c>
      <x:c r="X6" s="41" t="str">
        <x:f>IF(A6="","",MAX(0,K6-T6))</x:f>
      </x:c>
    </x:row>
    <x:row r="7" ht="42" customHeight="1">
      <x:c r="A7" s="27"/>
      <x:c r="B7" s="27"/>
      <x:c r="C7" s="28"/>
      <x:c r="D7" s="28" t="str">
        <x:f>IF(ISNUMBER(C7),C7+60,"")</x:f>
      </x:c>
      <x:c r="E7" s="27"/>
      <x:c r="F7" s="28"/>
      <x:c r="G7" s="28" t="str">
        <x:f>IF(OR(F7="",COUNTIF(Referrals!A$6:A$35,F7)&lt;&gt;1),"",IF(INDEX(Referrals!H$6:H$35,MATCH(F7,Referrals!A$6:A$35,0))&gt;0,INDEX(Referrals!H$6:H$35,MATCH(F7,Referrals!A$6:A$35,0)),""))</x:f>
      </x:c>
      <x:c r="H7" s="28"/>
      <x:c r="I7" s="39" t="str">
        <x:f>IF(A7="","",IF(OR(B7="",NOT(ISNUMBER(C7)),E7="",COUNTIFS(A$6:A$35,A7,B$6:B$35,B7)&lt;&gt;1),"Review pilot record",IF(OR(F7="",G7="",H7=""),"Awaiting eligible cleared payment",IF(AND(OR(INDEX(Referrals!B$6:B$35,MATCH(F7,Referrals!A$6:A$35,0))=B7,AND(INDEX(Referrals!Q$6:Q$35,MATCH(F7,Referrals!A$6:A$35,0))=B7,INDEX(Referrals!R$6:R$35,MATCH(F7,Referrals!A$6:A$35,0))&lt;&gt;"")),INDEX(Referrals!D$6:D$35,MATCH(F7,Referrals!A$6:A$35,0))="Outbound opportunity",ISNUMBER(G7),ISNUMBER(INDEX(Referrals!G$6:G$35,MATCH(F7,Referrals!A$6:A$35,0))),INDEX(Referrals!G$6:G$35,MATCH(F7,Referrals!A$6:A$35,0))&gt;0,INDEX(Referrals!G$6:G$35,MATCH(F7,Referrals!A$6:A$35,0))&lt;=G7,ISNUMBER(INDEX(Referrals!F$6:F$35,MATCH(F7,Referrals!A$6:A$35,0))),INDEX(Referrals!F$6:F$35,MATCH(F7,Referrals!A$6:A$35,0))&gt;0,G7&gt;=INDEX(Referrals!F$6:F$35,MATCH(F7,Referrals!A$6:A$35,0)),G7&lt;=EDATE(INDEX(Referrals!F$6:F$35,MATCH(F7,Referrals!A$6:A$35,0)),12),OR(INDEX(Referrals!E$6:E$35,MATCH(F7,Referrals!A$6:A$35,0))="Accepted",INDEX(Referrals!E$6:E$35,MATCH(F7,Referrals!A$6:A$35,0))="Proposal",INDEX(Referrals!E$6:E$35,MATCH(F7,Referrals!A$6:A$35,0))="Won",INDEX(Referrals!E$6:E$35,MATCH(F7,Referrals!A$6:A$35,0))="Closed"),COUNTIFS(Meetings!B$6:B$35,B7,Meetings!C$6:C$35,A7,Meetings!D$6:D$35,F7,Meetings!T$6:T$35,"Qualifies",Meetings!S$6:S$35,"Conditional bonus",Meetings!G$6:G$35,"&lt;="&amp;G7)=1,COUNTIFS(Payments!B$6:B$35,F7,Payments!E$6:E$35,G7,Payments!F$6:F$35,"&gt;0",Payments!N$6:N$35,"&lt;&gt;")&gt;0),"Ready","Review trigger evidence"))))</x:f>
      </x:c>
      <x:c r="J7" s="40" t="str">
        <x:f>IF(A7="","",COUNTIFS(Meetings!B$6:B$35,B7,Meetings!C$6:C$35,A7,Meetings!L$6:L$35,100,Meetings!S$6:S$35,"Conditional bonus"))</x:f>
      </x:c>
      <x:c r="K7" s="41" t="str">
        <x:f>IF(A7="","",SUMIFS(Meetings!L$6:L$35,Meetings!B$6:B$35,B7,Meetings!C$6:C$35,A7,Meetings!S$6:S$35,"Conditional bonus"))</x:f>
      </x:c>
      <x:c r="L7" s="41" t="str">
        <x:f>IF(A7="","",SUMIFS(Meetings!M$6:M$35,Meetings!B$6:B$35,B7,Meetings!C$6:C$35,A7,Meetings!S$6:S$35,"Conditional bonus"))</x:f>
      </x:c>
      <x:c r="M7" s="41" t="str">
        <x:f>IF(A7="","",IF(AND(I7="Ready",W7="Valid",COUNTIFS(Meetings!B$6:B$35,B7,Meetings!C$6:C$35,A7,Meetings!S$6:S$35,"Conditional bonus",Meetings!V$6:V$35,"Review payment / refund reconciliation")=0),SUMIFS(Meetings!P$6:P$35,Meetings!B$6:B$35,B7,Meetings!C$6:C$35,A7,Meetings!S$6:S$35,"Conditional bonus"),0))</x:f>
      </x:c>
      <x:c r="N7" s="41" t="str">
        <x:f>IF(A7="","",IF(AND(I7&lt;&gt;"Ready",W7="Valid"),MAX(0,K7-T7-L7+U7),0))</x:f>
      </x:c>
      <x:c r="O7" s="39" t="str">
        <x:f>IF(A7="","",IF(OR(W7&lt;&gt;"Valid",COUNTIFS(Meetings!B$6:B$35,B7,Meetings!C$6:C$35,A7,Meetings!S$6:S$35,"Conditional bonus",Meetings!V$6:V$35,"Review payment / refund reconciliation")&gt;0),"Review payments / refund reconciliation",IF(V7&gt;0,"Recovery outstanding; reconcile separately",IF(I7="Ready",IF(M7=0,"Settled / no outstanding bonus","Payable; reconcile individual due dates"),I7))))</x:f>
      </x:c>
      <x:c r="P7" s="39" t="str">
        <x:f>IF(AND(I7="Ready",K7&gt;0),WORKDAY(MAX(G7,Q7),5),"")</x:f>
      </x:c>
      <x:c r="Q7" s="39" t="str">
        <x:f>IF(I7="Ready",SUMIFS(Meetings!I$6:I$35,Meetings!B$6:B$35,B7,Meetings!C$6:C$35,A7,Meetings!D$6:D$35,F7,Meetings!T$6:T$35,"Qualifies",Meetings!S$6:S$35,"Conditional bonus"),"")</x:f>
      </x:c>
      <x:c r="R7" s="49"/>
      <x:c r="S7" s="30"/>
      <x:c r="T7" s="41" t="str">
        <x:f>IF(A7="","",SUMIFS(Meetings!W$6:W$35,Meetings!B$6:B$35,B7,Meetings!C$6:C$35,A7,Meetings!S$6:S$35,"Conditional bonus"))</x:f>
      </x:c>
      <x:c r="U7" s="41" t="str">
        <x:f>IF(A7="","",SUMIFS(Meetings!X$6:X$35,Meetings!B$6:B$35,B7,Meetings!C$6:C$35,A7,Meetings!S$6:S$35,"Conditional bonus"))</x:f>
      </x:c>
      <x:c r="V7" s="41" t="str">
        <x:f>IF(A7="","",SUMIFS(Meetings!Y$6:Y$35,Meetings!B$6:B$35,B7,Meetings!C$6:C$35,A7,Meetings!S$6:S$35,"Conditional bonus"))</x:f>
      </x:c>
      <x:c r="W7" s="48" t="str">
        <x:f>IF(A7="","",IF(OR(AND(R7&lt;&gt;"",NOT(ISNUMBER(R7))),R7&lt;0,R7&gt;1,AND(R7&gt;0,OR(S7="",I7&lt;&gt;"Ready"))),"Review refund basis / evidence","Valid"))</x:f>
      </x:c>
      <x:c r="X7" s="41" t="str">
        <x:f>IF(A7="","",MAX(0,K7-T7))</x:f>
      </x:c>
    </x:row>
    <x:row r="8" ht="42" customHeight="1">
      <x:c r="A8" s="27"/>
      <x:c r="B8" s="27"/>
      <x:c r="C8" s="28"/>
      <x:c r="D8" s="28" t="str">
        <x:f>IF(ISNUMBER(C8),C8+60,"")</x:f>
      </x:c>
      <x:c r="E8" s="27"/>
      <x:c r="F8" s="28"/>
      <x:c r="G8" s="28" t="str">
        <x:f>IF(OR(F8="",COUNTIF(Referrals!A$6:A$35,F8)&lt;&gt;1),"",IF(INDEX(Referrals!H$6:H$35,MATCH(F8,Referrals!A$6:A$35,0))&gt;0,INDEX(Referrals!H$6:H$35,MATCH(F8,Referrals!A$6:A$35,0)),""))</x:f>
      </x:c>
      <x:c r="H8" s="28"/>
      <x:c r="I8" s="39" t="str">
        <x:f>IF(A8="","",IF(OR(B8="",NOT(ISNUMBER(C8)),E8="",COUNTIFS(A$6:A$35,A8,B$6:B$35,B8)&lt;&gt;1),"Review pilot record",IF(OR(F8="",G8="",H8=""),"Awaiting eligible cleared payment",IF(AND(OR(INDEX(Referrals!B$6:B$35,MATCH(F8,Referrals!A$6:A$35,0))=B8,AND(INDEX(Referrals!Q$6:Q$35,MATCH(F8,Referrals!A$6:A$35,0))=B8,INDEX(Referrals!R$6:R$35,MATCH(F8,Referrals!A$6:A$35,0))&lt;&gt;"")),INDEX(Referrals!D$6:D$35,MATCH(F8,Referrals!A$6:A$35,0))="Outbound opportunity",ISNUMBER(G8),ISNUMBER(INDEX(Referrals!G$6:G$35,MATCH(F8,Referrals!A$6:A$35,0))),INDEX(Referrals!G$6:G$35,MATCH(F8,Referrals!A$6:A$35,0))&gt;0,INDEX(Referrals!G$6:G$35,MATCH(F8,Referrals!A$6:A$35,0))&lt;=G8,ISNUMBER(INDEX(Referrals!F$6:F$35,MATCH(F8,Referrals!A$6:A$35,0))),INDEX(Referrals!F$6:F$35,MATCH(F8,Referrals!A$6:A$35,0))&gt;0,G8&gt;=INDEX(Referrals!F$6:F$35,MATCH(F8,Referrals!A$6:A$35,0)),G8&lt;=EDATE(INDEX(Referrals!F$6:F$35,MATCH(F8,Referrals!A$6:A$35,0)),12),OR(INDEX(Referrals!E$6:E$35,MATCH(F8,Referrals!A$6:A$35,0))="Accepted",INDEX(Referrals!E$6:E$35,MATCH(F8,Referrals!A$6:A$35,0))="Proposal",INDEX(Referrals!E$6:E$35,MATCH(F8,Referrals!A$6:A$35,0))="Won",INDEX(Referrals!E$6:E$35,MATCH(F8,Referrals!A$6:A$35,0))="Closed"),COUNTIFS(Meetings!B$6:B$35,B8,Meetings!C$6:C$35,A8,Meetings!D$6:D$35,F8,Meetings!T$6:T$35,"Qualifies",Meetings!S$6:S$35,"Conditional bonus",Meetings!G$6:G$35,"&lt;="&amp;G8)=1,COUNTIFS(Payments!B$6:B$35,F8,Payments!E$6:E$35,G8,Payments!F$6:F$35,"&gt;0",Payments!N$6:N$35,"&lt;&gt;")&gt;0),"Ready","Review trigger evidence"))))</x:f>
      </x:c>
      <x:c r="J8" s="40" t="str">
        <x:f>IF(A8="","",COUNTIFS(Meetings!B$6:B$35,B8,Meetings!C$6:C$35,A8,Meetings!L$6:L$35,100,Meetings!S$6:S$35,"Conditional bonus"))</x:f>
      </x:c>
      <x:c r="K8" s="41" t="str">
        <x:f>IF(A8="","",SUMIFS(Meetings!L$6:L$35,Meetings!B$6:B$35,B8,Meetings!C$6:C$35,A8,Meetings!S$6:S$35,"Conditional bonus"))</x:f>
      </x:c>
      <x:c r="L8" s="41" t="str">
        <x:f>IF(A8="","",SUMIFS(Meetings!M$6:M$35,Meetings!B$6:B$35,B8,Meetings!C$6:C$35,A8,Meetings!S$6:S$35,"Conditional bonus"))</x:f>
      </x:c>
      <x:c r="M8" s="41" t="str">
        <x:f>IF(A8="","",IF(AND(I8="Ready",W8="Valid",COUNTIFS(Meetings!B$6:B$35,B8,Meetings!C$6:C$35,A8,Meetings!S$6:S$35,"Conditional bonus",Meetings!V$6:V$35,"Review payment / refund reconciliation")=0),SUMIFS(Meetings!P$6:P$35,Meetings!B$6:B$35,B8,Meetings!C$6:C$35,A8,Meetings!S$6:S$35,"Conditional bonus"),0))</x:f>
      </x:c>
      <x:c r="N8" s="41" t="str">
        <x:f>IF(A8="","",IF(AND(I8&lt;&gt;"Ready",W8="Valid"),MAX(0,K8-T8-L8+U8),0))</x:f>
      </x:c>
      <x:c r="O8" s="39" t="str">
        <x:f>IF(A8="","",IF(OR(W8&lt;&gt;"Valid",COUNTIFS(Meetings!B$6:B$35,B8,Meetings!C$6:C$35,A8,Meetings!S$6:S$35,"Conditional bonus",Meetings!V$6:V$35,"Review payment / refund reconciliation")&gt;0),"Review payments / refund reconciliation",IF(V8&gt;0,"Recovery outstanding; reconcile separately",IF(I8="Ready",IF(M8=0,"Settled / no outstanding bonus","Payable; reconcile individual due dates"),I8))))</x:f>
      </x:c>
      <x:c r="P8" s="39" t="str">
        <x:f>IF(AND(I8="Ready",K8&gt;0),WORKDAY(MAX(G8,Q8),5),"")</x:f>
      </x:c>
      <x:c r="Q8" s="39" t="str">
        <x:f>IF(I8="Ready",SUMIFS(Meetings!I$6:I$35,Meetings!B$6:B$35,B8,Meetings!C$6:C$35,A8,Meetings!D$6:D$35,F8,Meetings!T$6:T$35,"Qualifies",Meetings!S$6:S$35,"Conditional bonus"),"")</x:f>
      </x:c>
      <x:c r="R8" s="49"/>
      <x:c r="S8" s="30"/>
      <x:c r="T8" s="41" t="str">
        <x:f>IF(A8="","",SUMIFS(Meetings!W$6:W$35,Meetings!B$6:B$35,B8,Meetings!C$6:C$35,A8,Meetings!S$6:S$35,"Conditional bonus"))</x:f>
      </x:c>
      <x:c r="U8" s="41" t="str">
        <x:f>IF(A8="","",SUMIFS(Meetings!X$6:X$35,Meetings!B$6:B$35,B8,Meetings!C$6:C$35,A8,Meetings!S$6:S$35,"Conditional bonus"))</x:f>
      </x:c>
      <x:c r="V8" s="41" t="str">
        <x:f>IF(A8="","",SUMIFS(Meetings!Y$6:Y$35,Meetings!B$6:B$35,B8,Meetings!C$6:C$35,A8,Meetings!S$6:S$35,"Conditional bonus"))</x:f>
      </x:c>
      <x:c r="W8" s="48" t="str">
        <x:f>IF(A8="","",IF(OR(AND(R8&lt;&gt;"",NOT(ISNUMBER(R8))),R8&lt;0,R8&gt;1,AND(R8&gt;0,OR(S8="",I8&lt;&gt;"Ready"))),"Review refund basis / evidence","Valid"))</x:f>
      </x:c>
      <x:c r="X8" s="41" t="str">
        <x:f>IF(A8="","",MAX(0,K8-T8))</x:f>
      </x:c>
    </x:row>
    <x:row r="9" ht="42" customHeight="1">
      <x:c r="A9" s="27"/>
      <x:c r="B9" s="27"/>
      <x:c r="C9" s="28"/>
      <x:c r="D9" s="28" t="str">
        <x:f>IF(ISNUMBER(C9),C9+60,"")</x:f>
      </x:c>
      <x:c r="E9" s="27"/>
      <x:c r="F9" s="28"/>
      <x:c r="G9" s="28" t="str">
        <x:f>IF(OR(F9="",COUNTIF(Referrals!A$6:A$35,F9)&lt;&gt;1),"",IF(INDEX(Referrals!H$6:H$35,MATCH(F9,Referrals!A$6:A$35,0))&gt;0,INDEX(Referrals!H$6:H$35,MATCH(F9,Referrals!A$6:A$35,0)),""))</x:f>
      </x:c>
      <x:c r="H9" s="28"/>
      <x:c r="I9" s="39" t="str">
        <x:f>IF(A9="","",IF(OR(B9="",NOT(ISNUMBER(C9)),E9="",COUNTIFS(A$6:A$35,A9,B$6:B$35,B9)&lt;&gt;1),"Review pilot record",IF(OR(F9="",G9="",H9=""),"Awaiting eligible cleared payment",IF(AND(OR(INDEX(Referrals!B$6:B$35,MATCH(F9,Referrals!A$6:A$35,0))=B9,AND(INDEX(Referrals!Q$6:Q$35,MATCH(F9,Referrals!A$6:A$35,0))=B9,INDEX(Referrals!R$6:R$35,MATCH(F9,Referrals!A$6:A$35,0))&lt;&gt;"")),INDEX(Referrals!D$6:D$35,MATCH(F9,Referrals!A$6:A$35,0))="Outbound opportunity",ISNUMBER(G9),ISNUMBER(INDEX(Referrals!G$6:G$35,MATCH(F9,Referrals!A$6:A$35,0))),INDEX(Referrals!G$6:G$35,MATCH(F9,Referrals!A$6:A$35,0))&gt;0,INDEX(Referrals!G$6:G$35,MATCH(F9,Referrals!A$6:A$35,0))&lt;=G9,ISNUMBER(INDEX(Referrals!F$6:F$35,MATCH(F9,Referrals!A$6:A$35,0))),INDEX(Referrals!F$6:F$35,MATCH(F9,Referrals!A$6:A$35,0))&gt;0,G9&gt;=INDEX(Referrals!F$6:F$35,MATCH(F9,Referrals!A$6:A$35,0)),G9&lt;=EDATE(INDEX(Referrals!F$6:F$35,MATCH(F9,Referrals!A$6:A$35,0)),12),OR(INDEX(Referrals!E$6:E$35,MATCH(F9,Referrals!A$6:A$35,0))="Accepted",INDEX(Referrals!E$6:E$35,MATCH(F9,Referrals!A$6:A$35,0))="Proposal",INDEX(Referrals!E$6:E$35,MATCH(F9,Referrals!A$6:A$35,0))="Won",INDEX(Referrals!E$6:E$35,MATCH(F9,Referrals!A$6:A$35,0))="Closed"),COUNTIFS(Meetings!B$6:B$35,B9,Meetings!C$6:C$35,A9,Meetings!D$6:D$35,F9,Meetings!T$6:T$35,"Qualifies",Meetings!S$6:S$35,"Conditional bonus",Meetings!G$6:G$35,"&lt;="&amp;G9)=1,COUNTIFS(Payments!B$6:B$35,F9,Payments!E$6:E$35,G9,Payments!F$6:F$35,"&gt;0",Payments!N$6:N$35,"&lt;&gt;")&gt;0),"Ready","Review trigger evidence"))))</x:f>
      </x:c>
      <x:c r="J9" s="40" t="str">
        <x:f>IF(A9="","",COUNTIFS(Meetings!B$6:B$35,B9,Meetings!C$6:C$35,A9,Meetings!L$6:L$35,100,Meetings!S$6:S$35,"Conditional bonus"))</x:f>
      </x:c>
      <x:c r="K9" s="41" t="str">
        <x:f>IF(A9="","",SUMIFS(Meetings!L$6:L$35,Meetings!B$6:B$35,B9,Meetings!C$6:C$35,A9,Meetings!S$6:S$35,"Conditional bonus"))</x:f>
      </x:c>
      <x:c r="L9" s="41" t="str">
        <x:f>IF(A9="","",SUMIFS(Meetings!M$6:M$35,Meetings!B$6:B$35,B9,Meetings!C$6:C$35,A9,Meetings!S$6:S$35,"Conditional bonus"))</x:f>
      </x:c>
      <x:c r="M9" s="41" t="str">
        <x:f>IF(A9="","",IF(AND(I9="Ready",W9="Valid",COUNTIFS(Meetings!B$6:B$35,B9,Meetings!C$6:C$35,A9,Meetings!S$6:S$35,"Conditional bonus",Meetings!V$6:V$35,"Review payment / refund reconciliation")=0),SUMIFS(Meetings!P$6:P$35,Meetings!B$6:B$35,B9,Meetings!C$6:C$35,A9,Meetings!S$6:S$35,"Conditional bonus"),0))</x:f>
      </x:c>
      <x:c r="N9" s="41" t="str">
        <x:f>IF(A9="","",IF(AND(I9&lt;&gt;"Ready",W9="Valid"),MAX(0,K9-T9-L9+U9),0))</x:f>
      </x:c>
      <x:c r="O9" s="39" t="str">
        <x:f>IF(A9="","",IF(OR(W9&lt;&gt;"Valid",COUNTIFS(Meetings!B$6:B$35,B9,Meetings!C$6:C$35,A9,Meetings!S$6:S$35,"Conditional bonus",Meetings!V$6:V$35,"Review payment / refund reconciliation")&gt;0),"Review payments / refund reconciliation",IF(V9&gt;0,"Recovery outstanding; reconcile separately",IF(I9="Ready",IF(M9=0,"Settled / no outstanding bonus","Payable; reconcile individual due dates"),I9))))</x:f>
      </x:c>
      <x:c r="P9" s="39" t="str">
        <x:f>IF(AND(I9="Ready",K9&gt;0),WORKDAY(MAX(G9,Q9),5),"")</x:f>
      </x:c>
      <x:c r="Q9" s="39" t="str">
        <x:f>IF(I9="Ready",SUMIFS(Meetings!I$6:I$35,Meetings!B$6:B$35,B9,Meetings!C$6:C$35,A9,Meetings!D$6:D$35,F9,Meetings!T$6:T$35,"Qualifies",Meetings!S$6:S$35,"Conditional bonus"),"")</x:f>
      </x:c>
      <x:c r="R9" s="49"/>
      <x:c r="S9" s="30"/>
      <x:c r="T9" s="41" t="str">
        <x:f>IF(A9="","",SUMIFS(Meetings!W$6:W$35,Meetings!B$6:B$35,B9,Meetings!C$6:C$35,A9,Meetings!S$6:S$35,"Conditional bonus"))</x:f>
      </x:c>
      <x:c r="U9" s="41" t="str">
        <x:f>IF(A9="","",SUMIFS(Meetings!X$6:X$35,Meetings!B$6:B$35,B9,Meetings!C$6:C$35,A9,Meetings!S$6:S$35,"Conditional bonus"))</x:f>
      </x:c>
      <x:c r="V9" s="41" t="str">
        <x:f>IF(A9="","",SUMIFS(Meetings!Y$6:Y$35,Meetings!B$6:B$35,B9,Meetings!C$6:C$35,A9,Meetings!S$6:S$35,"Conditional bonus"))</x:f>
      </x:c>
      <x:c r="W9" s="48" t="str">
        <x:f>IF(A9="","",IF(OR(AND(R9&lt;&gt;"",NOT(ISNUMBER(R9))),R9&lt;0,R9&gt;1,AND(R9&gt;0,OR(S9="",I9&lt;&gt;"Ready"))),"Review refund basis / evidence","Valid"))</x:f>
      </x:c>
      <x:c r="X9" s="41" t="str">
        <x:f>IF(A9="","",MAX(0,K9-T9))</x:f>
      </x:c>
    </x:row>
    <x:row r="10" ht="42" customHeight="1">
      <x:c r="A10" s="27"/>
      <x:c r="B10" s="27"/>
      <x:c r="C10" s="28"/>
      <x:c r="D10" s="28" t="str">
        <x:f>IF(ISNUMBER(C10),C10+60,"")</x:f>
      </x:c>
      <x:c r="E10" s="27"/>
      <x:c r="F10" s="28"/>
      <x:c r="G10" s="28" t="str">
        <x:f>IF(OR(F10="",COUNTIF(Referrals!A$6:A$35,F10)&lt;&gt;1),"",IF(INDEX(Referrals!H$6:H$35,MATCH(F10,Referrals!A$6:A$35,0))&gt;0,INDEX(Referrals!H$6:H$35,MATCH(F10,Referrals!A$6:A$35,0)),""))</x:f>
      </x:c>
      <x:c r="H10" s="28"/>
      <x:c r="I10" s="39" t="str">
        <x:f>IF(A10="","",IF(OR(B10="",NOT(ISNUMBER(C10)),E10="",COUNTIFS(A$6:A$35,A10,B$6:B$35,B10)&lt;&gt;1),"Review pilot record",IF(OR(F10="",G10="",H10=""),"Awaiting eligible cleared payment",IF(AND(OR(INDEX(Referrals!B$6:B$35,MATCH(F10,Referrals!A$6:A$35,0))=B10,AND(INDEX(Referrals!Q$6:Q$35,MATCH(F10,Referrals!A$6:A$35,0))=B10,INDEX(Referrals!R$6:R$35,MATCH(F10,Referrals!A$6:A$35,0))&lt;&gt;"")),INDEX(Referrals!D$6:D$35,MATCH(F10,Referrals!A$6:A$35,0))="Outbound opportunity",ISNUMBER(G10),ISNUMBER(INDEX(Referrals!G$6:G$35,MATCH(F10,Referrals!A$6:A$35,0))),INDEX(Referrals!G$6:G$35,MATCH(F10,Referrals!A$6:A$35,0))&gt;0,INDEX(Referrals!G$6:G$35,MATCH(F10,Referrals!A$6:A$35,0))&lt;=G10,ISNUMBER(INDEX(Referrals!F$6:F$35,MATCH(F10,Referrals!A$6:A$35,0))),INDEX(Referrals!F$6:F$35,MATCH(F10,Referrals!A$6:A$35,0))&gt;0,G10&gt;=INDEX(Referrals!F$6:F$35,MATCH(F10,Referrals!A$6:A$35,0)),G10&lt;=EDATE(INDEX(Referrals!F$6:F$35,MATCH(F10,Referrals!A$6:A$35,0)),12),OR(INDEX(Referrals!E$6:E$35,MATCH(F10,Referrals!A$6:A$35,0))="Accepted",INDEX(Referrals!E$6:E$35,MATCH(F10,Referrals!A$6:A$35,0))="Proposal",INDEX(Referrals!E$6:E$35,MATCH(F10,Referrals!A$6:A$35,0))="Won",INDEX(Referrals!E$6:E$35,MATCH(F10,Referrals!A$6:A$35,0))="Closed"),COUNTIFS(Meetings!B$6:B$35,B10,Meetings!C$6:C$35,A10,Meetings!D$6:D$35,F10,Meetings!T$6:T$35,"Qualifies",Meetings!S$6:S$35,"Conditional bonus",Meetings!G$6:G$35,"&lt;="&amp;G10)=1,COUNTIFS(Payments!B$6:B$35,F10,Payments!E$6:E$35,G10,Payments!F$6:F$35,"&gt;0",Payments!N$6:N$35,"&lt;&gt;")&gt;0),"Ready","Review trigger evidence"))))</x:f>
      </x:c>
      <x:c r="J10" s="40" t="str">
        <x:f>IF(A10="","",COUNTIFS(Meetings!B$6:B$35,B10,Meetings!C$6:C$35,A10,Meetings!L$6:L$35,100,Meetings!S$6:S$35,"Conditional bonus"))</x:f>
      </x:c>
      <x:c r="K10" s="41" t="str">
        <x:f>IF(A10="","",SUMIFS(Meetings!L$6:L$35,Meetings!B$6:B$35,B10,Meetings!C$6:C$35,A10,Meetings!S$6:S$35,"Conditional bonus"))</x:f>
      </x:c>
      <x:c r="L10" s="41" t="str">
        <x:f>IF(A10="","",SUMIFS(Meetings!M$6:M$35,Meetings!B$6:B$35,B10,Meetings!C$6:C$35,A10,Meetings!S$6:S$35,"Conditional bonus"))</x:f>
      </x:c>
      <x:c r="M10" s="41" t="str">
        <x:f>IF(A10="","",IF(AND(I10="Ready",W10="Valid",COUNTIFS(Meetings!B$6:B$35,B10,Meetings!C$6:C$35,A10,Meetings!S$6:S$35,"Conditional bonus",Meetings!V$6:V$35,"Review payment / refund reconciliation")=0),SUMIFS(Meetings!P$6:P$35,Meetings!B$6:B$35,B10,Meetings!C$6:C$35,A10,Meetings!S$6:S$35,"Conditional bonus"),0))</x:f>
      </x:c>
      <x:c r="N10" s="41" t="str">
        <x:f>IF(A10="","",IF(AND(I10&lt;&gt;"Ready",W10="Valid"),MAX(0,K10-T10-L10+U10),0))</x:f>
      </x:c>
      <x:c r="O10" s="39" t="str">
        <x:f>IF(A10="","",IF(OR(W10&lt;&gt;"Valid",COUNTIFS(Meetings!B$6:B$35,B10,Meetings!C$6:C$35,A10,Meetings!S$6:S$35,"Conditional bonus",Meetings!V$6:V$35,"Review payment / refund reconciliation")&gt;0),"Review payments / refund reconciliation",IF(V10&gt;0,"Recovery outstanding; reconcile separately",IF(I10="Ready",IF(M10=0,"Settled / no outstanding bonus","Payable; reconcile individual due dates"),I10))))</x:f>
      </x:c>
      <x:c r="P10" s="39" t="str">
        <x:f>IF(AND(I10="Ready",K10&gt;0),WORKDAY(MAX(G10,Q10),5),"")</x:f>
      </x:c>
      <x:c r="Q10" s="39" t="str">
        <x:f>IF(I10="Ready",SUMIFS(Meetings!I$6:I$35,Meetings!B$6:B$35,B10,Meetings!C$6:C$35,A10,Meetings!D$6:D$35,F10,Meetings!T$6:T$35,"Qualifies",Meetings!S$6:S$35,"Conditional bonus"),"")</x:f>
      </x:c>
      <x:c r="R10" s="49"/>
      <x:c r="S10" s="30"/>
      <x:c r="T10" s="41" t="str">
        <x:f>IF(A10="","",SUMIFS(Meetings!W$6:W$35,Meetings!B$6:B$35,B10,Meetings!C$6:C$35,A10,Meetings!S$6:S$35,"Conditional bonus"))</x:f>
      </x:c>
      <x:c r="U10" s="41" t="str">
        <x:f>IF(A10="","",SUMIFS(Meetings!X$6:X$35,Meetings!B$6:B$35,B10,Meetings!C$6:C$35,A10,Meetings!S$6:S$35,"Conditional bonus"))</x:f>
      </x:c>
      <x:c r="V10" s="41" t="str">
        <x:f>IF(A10="","",SUMIFS(Meetings!Y$6:Y$35,Meetings!B$6:B$35,B10,Meetings!C$6:C$35,A10,Meetings!S$6:S$35,"Conditional bonus"))</x:f>
      </x:c>
      <x:c r="W10" s="48" t="str">
        <x:f>IF(A10="","",IF(OR(AND(R10&lt;&gt;"",NOT(ISNUMBER(R10))),R10&lt;0,R10&gt;1,AND(R10&gt;0,OR(S10="",I10&lt;&gt;"Ready"))),"Review refund basis / evidence","Valid"))</x:f>
      </x:c>
      <x:c r="X10" s="41" t="str">
        <x:f>IF(A10="","",MAX(0,K10-T10))</x:f>
      </x:c>
    </x:row>
    <x:row r="11" ht="42" customHeight="1">
      <x:c r="A11" s="27"/>
      <x:c r="B11" s="27"/>
      <x:c r="C11" s="28"/>
      <x:c r="D11" s="28" t="str">
        <x:f>IF(ISNUMBER(C11),C11+60,"")</x:f>
      </x:c>
      <x:c r="E11" s="27"/>
      <x:c r="F11" s="28"/>
      <x:c r="G11" s="28" t="str">
        <x:f>IF(OR(F11="",COUNTIF(Referrals!A$6:A$35,F11)&lt;&gt;1),"",IF(INDEX(Referrals!H$6:H$35,MATCH(F11,Referrals!A$6:A$35,0))&gt;0,INDEX(Referrals!H$6:H$35,MATCH(F11,Referrals!A$6:A$35,0)),""))</x:f>
      </x:c>
      <x:c r="H11" s="28"/>
      <x:c r="I11" s="39" t="str">
        <x:f>IF(A11="","",IF(OR(B11="",NOT(ISNUMBER(C11)),E11="",COUNTIFS(A$6:A$35,A11,B$6:B$35,B11)&lt;&gt;1),"Review pilot record",IF(OR(F11="",G11="",H11=""),"Awaiting eligible cleared payment",IF(AND(OR(INDEX(Referrals!B$6:B$35,MATCH(F11,Referrals!A$6:A$35,0))=B11,AND(INDEX(Referrals!Q$6:Q$35,MATCH(F11,Referrals!A$6:A$35,0))=B11,INDEX(Referrals!R$6:R$35,MATCH(F11,Referrals!A$6:A$35,0))&lt;&gt;"")),INDEX(Referrals!D$6:D$35,MATCH(F11,Referrals!A$6:A$35,0))="Outbound opportunity",ISNUMBER(G11),ISNUMBER(INDEX(Referrals!G$6:G$35,MATCH(F11,Referrals!A$6:A$35,0))),INDEX(Referrals!G$6:G$35,MATCH(F11,Referrals!A$6:A$35,0))&gt;0,INDEX(Referrals!G$6:G$35,MATCH(F11,Referrals!A$6:A$35,0))&lt;=G11,ISNUMBER(INDEX(Referrals!F$6:F$35,MATCH(F11,Referrals!A$6:A$35,0))),INDEX(Referrals!F$6:F$35,MATCH(F11,Referrals!A$6:A$35,0))&gt;0,G11&gt;=INDEX(Referrals!F$6:F$35,MATCH(F11,Referrals!A$6:A$35,0)),G11&lt;=EDATE(INDEX(Referrals!F$6:F$35,MATCH(F11,Referrals!A$6:A$35,0)),12),OR(INDEX(Referrals!E$6:E$35,MATCH(F11,Referrals!A$6:A$35,0))="Accepted",INDEX(Referrals!E$6:E$35,MATCH(F11,Referrals!A$6:A$35,0))="Proposal",INDEX(Referrals!E$6:E$35,MATCH(F11,Referrals!A$6:A$35,0))="Won",INDEX(Referrals!E$6:E$35,MATCH(F11,Referrals!A$6:A$35,0))="Closed"),COUNTIFS(Meetings!B$6:B$35,B11,Meetings!C$6:C$35,A11,Meetings!D$6:D$35,F11,Meetings!T$6:T$35,"Qualifies",Meetings!S$6:S$35,"Conditional bonus",Meetings!G$6:G$35,"&lt;="&amp;G11)=1,COUNTIFS(Payments!B$6:B$35,F11,Payments!E$6:E$35,G11,Payments!F$6:F$35,"&gt;0",Payments!N$6:N$35,"&lt;&gt;")&gt;0),"Ready","Review trigger evidence"))))</x:f>
      </x:c>
      <x:c r="J11" s="40" t="str">
        <x:f>IF(A11="","",COUNTIFS(Meetings!B$6:B$35,B11,Meetings!C$6:C$35,A11,Meetings!L$6:L$35,100,Meetings!S$6:S$35,"Conditional bonus"))</x:f>
      </x:c>
      <x:c r="K11" s="41" t="str">
        <x:f>IF(A11="","",SUMIFS(Meetings!L$6:L$35,Meetings!B$6:B$35,B11,Meetings!C$6:C$35,A11,Meetings!S$6:S$35,"Conditional bonus"))</x:f>
      </x:c>
      <x:c r="L11" s="41" t="str">
        <x:f>IF(A11="","",SUMIFS(Meetings!M$6:M$35,Meetings!B$6:B$35,B11,Meetings!C$6:C$35,A11,Meetings!S$6:S$35,"Conditional bonus"))</x:f>
      </x:c>
      <x:c r="M11" s="41" t="str">
        <x:f>IF(A11="","",IF(AND(I11="Ready",W11="Valid",COUNTIFS(Meetings!B$6:B$35,B11,Meetings!C$6:C$35,A11,Meetings!S$6:S$35,"Conditional bonus",Meetings!V$6:V$35,"Review payment / refund reconciliation")=0),SUMIFS(Meetings!P$6:P$35,Meetings!B$6:B$35,B11,Meetings!C$6:C$35,A11,Meetings!S$6:S$35,"Conditional bonus"),0))</x:f>
      </x:c>
      <x:c r="N11" s="41" t="str">
        <x:f>IF(A11="","",IF(AND(I11&lt;&gt;"Ready",W11="Valid"),MAX(0,K11-T11-L11+U11),0))</x:f>
      </x:c>
      <x:c r="O11" s="39" t="str">
        <x:f>IF(A11="","",IF(OR(W11&lt;&gt;"Valid",COUNTIFS(Meetings!B$6:B$35,B11,Meetings!C$6:C$35,A11,Meetings!S$6:S$35,"Conditional bonus",Meetings!V$6:V$35,"Review payment / refund reconciliation")&gt;0),"Review payments / refund reconciliation",IF(V11&gt;0,"Recovery outstanding; reconcile separately",IF(I11="Ready",IF(M11=0,"Settled / no outstanding bonus","Payable; reconcile individual due dates"),I11))))</x:f>
      </x:c>
      <x:c r="P11" s="39" t="str">
        <x:f>IF(AND(I11="Ready",K11&gt;0),WORKDAY(MAX(G11,Q11),5),"")</x:f>
      </x:c>
      <x:c r="Q11" s="39" t="str">
        <x:f>IF(I11="Ready",SUMIFS(Meetings!I$6:I$35,Meetings!B$6:B$35,B11,Meetings!C$6:C$35,A11,Meetings!D$6:D$35,F11,Meetings!T$6:T$35,"Qualifies",Meetings!S$6:S$35,"Conditional bonus"),"")</x:f>
      </x:c>
      <x:c r="R11" s="49"/>
      <x:c r="S11" s="30"/>
      <x:c r="T11" s="41" t="str">
        <x:f>IF(A11="","",SUMIFS(Meetings!W$6:W$35,Meetings!B$6:B$35,B11,Meetings!C$6:C$35,A11,Meetings!S$6:S$35,"Conditional bonus"))</x:f>
      </x:c>
      <x:c r="U11" s="41" t="str">
        <x:f>IF(A11="","",SUMIFS(Meetings!X$6:X$35,Meetings!B$6:B$35,B11,Meetings!C$6:C$35,A11,Meetings!S$6:S$35,"Conditional bonus"))</x:f>
      </x:c>
      <x:c r="V11" s="41" t="str">
        <x:f>IF(A11="","",SUMIFS(Meetings!Y$6:Y$35,Meetings!B$6:B$35,B11,Meetings!C$6:C$35,A11,Meetings!S$6:S$35,"Conditional bonus"))</x:f>
      </x:c>
      <x:c r="W11" s="48" t="str">
        <x:f>IF(A11="","",IF(OR(AND(R11&lt;&gt;"",NOT(ISNUMBER(R11))),R11&lt;0,R11&gt;1,AND(R11&gt;0,OR(S11="",I11&lt;&gt;"Ready"))),"Review refund basis / evidence","Valid"))</x:f>
      </x:c>
      <x:c r="X11" s="41" t="str">
        <x:f>IF(A11="","",MAX(0,K11-T11))</x:f>
      </x:c>
    </x:row>
    <x:row r="12" ht="42" customHeight="1">
      <x:c r="A12" s="27"/>
      <x:c r="B12" s="27"/>
      <x:c r="C12" s="28"/>
      <x:c r="D12" s="28" t="str">
        <x:f>IF(ISNUMBER(C12),C12+60,"")</x:f>
      </x:c>
      <x:c r="E12" s="27"/>
      <x:c r="F12" s="28"/>
      <x:c r="G12" s="28" t="str">
        <x:f>IF(OR(F12="",COUNTIF(Referrals!A$6:A$35,F12)&lt;&gt;1),"",IF(INDEX(Referrals!H$6:H$35,MATCH(F12,Referrals!A$6:A$35,0))&gt;0,INDEX(Referrals!H$6:H$35,MATCH(F12,Referrals!A$6:A$35,0)),""))</x:f>
      </x:c>
      <x:c r="H12" s="28"/>
      <x:c r="I12" s="39" t="str">
        <x:f>IF(A12="","",IF(OR(B12="",NOT(ISNUMBER(C12)),E12="",COUNTIFS(A$6:A$35,A12,B$6:B$35,B12)&lt;&gt;1),"Review pilot record",IF(OR(F12="",G12="",H12=""),"Awaiting eligible cleared payment",IF(AND(OR(INDEX(Referrals!B$6:B$35,MATCH(F12,Referrals!A$6:A$35,0))=B12,AND(INDEX(Referrals!Q$6:Q$35,MATCH(F12,Referrals!A$6:A$35,0))=B12,INDEX(Referrals!R$6:R$35,MATCH(F12,Referrals!A$6:A$35,0))&lt;&gt;"")),INDEX(Referrals!D$6:D$35,MATCH(F12,Referrals!A$6:A$35,0))="Outbound opportunity",ISNUMBER(G12),ISNUMBER(INDEX(Referrals!G$6:G$35,MATCH(F12,Referrals!A$6:A$35,0))),INDEX(Referrals!G$6:G$35,MATCH(F12,Referrals!A$6:A$35,0))&gt;0,INDEX(Referrals!G$6:G$35,MATCH(F12,Referrals!A$6:A$35,0))&lt;=G12,ISNUMBER(INDEX(Referrals!F$6:F$35,MATCH(F12,Referrals!A$6:A$35,0))),INDEX(Referrals!F$6:F$35,MATCH(F12,Referrals!A$6:A$35,0))&gt;0,G12&gt;=INDEX(Referrals!F$6:F$35,MATCH(F12,Referrals!A$6:A$35,0)),G12&lt;=EDATE(INDEX(Referrals!F$6:F$35,MATCH(F12,Referrals!A$6:A$35,0)),12),OR(INDEX(Referrals!E$6:E$35,MATCH(F12,Referrals!A$6:A$35,0))="Accepted",INDEX(Referrals!E$6:E$35,MATCH(F12,Referrals!A$6:A$35,0))="Proposal",INDEX(Referrals!E$6:E$35,MATCH(F12,Referrals!A$6:A$35,0))="Won",INDEX(Referrals!E$6:E$35,MATCH(F12,Referrals!A$6:A$35,0))="Closed"),COUNTIFS(Meetings!B$6:B$35,B12,Meetings!C$6:C$35,A12,Meetings!D$6:D$35,F12,Meetings!T$6:T$35,"Qualifies",Meetings!S$6:S$35,"Conditional bonus",Meetings!G$6:G$35,"&lt;="&amp;G12)=1,COUNTIFS(Payments!B$6:B$35,F12,Payments!E$6:E$35,G12,Payments!F$6:F$35,"&gt;0",Payments!N$6:N$35,"&lt;&gt;")&gt;0),"Ready","Review trigger evidence"))))</x:f>
      </x:c>
      <x:c r="J12" s="40" t="str">
        <x:f>IF(A12="","",COUNTIFS(Meetings!B$6:B$35,B12,Meetings!C$6:C$35,A12,Meetings!L$6:L$35,100,Meetings!S$6:S$35,"Conditional bonus"))</x:f>
      </x:c>
      <x:c r="K12" s="41" t="str">
        <x:f>IF(A12="","",SUMIFS(Meetings!L$6:L$35,Meetings!B$6:B$35,B12,Meetings!C$6:C$35,A12,Meetings!S$6:S$35,"Conditional bonus"))</x:f>
      </x:c>
      <x:c r="L12" s="41" t="str">
        <x:f>IF(A12="","",SUMIFS(Meetings!M$6:M$35,Meetings!B$6:B$35,B12,Meetings!C$6:C$35,A12,Meetings!S$6:S$35,"Conditional bonus"))</x:f>
      </x:c>
      <x:c r="M12" s="41" t="str">
        <x:f>IF(A12="","",IF(AND(I12="Ready",W12="Valid",COUNTIFS(Meetings!B$6:B$35,B12,Meetings!C$6:C$35,A12,Meetings!S$6:S$35,"Conditional bonus",Meetings!V$6:V$35,"Review payment / refund reconciliation")=0),SUMIFS(Meetings!P$6:P$35,Meetings!B$6:B$35,B12,Meetings!C$6:C$35,A12,Meetings!S$6:S$35,"Conditional bonus"),0))</x:f>
      </x:c>
      <x:c r="N12" s="41" t="str">
        <x:f>IF(A12="","",IF(AND(I12&lt;&gt;"Ready",W12="Valid"),MAX(0,K12-T12-L12+U12),0))</x:f>
      </x:c>
      <x:c r="O12" s="39" t="str">
        <x:f>IF(A12="","",IF(OR(W12&lt;&gt;"Valid",COUNTIFS(Meetings!B$6:B$35,B12,Meetings!C$6:C$35,A12,Meetings!S$6:S$35,"Conditional bonus",Meetings!V$6:V$35,"Review payment / refund reconciliation")&gt;0),"Review payments / refund reconciliation",IF(V12&gt;0,"Recovery outstanding; reconcile separately",IF(I12="Ready",IF(M12=0,"Settled / no outstanding bonus","Payable; reconcile individual due dates"),I12))))</x:f>
      </x:c>
      <x:c r="P12" s="39" t="str">
        <x:f>IF(AND(I12="Ready",K12&gt;0),WORKDAY(MAX(G12,Q12),5),"")</x:f>
      </x:c>
      <x:c r="Q12" s="39" t="str">
        <x:f>IF(I12="Ready",SUMIFS(Meetings!I$6:I$35,Meetings!B$6:B$35,B12,Meetings!C$6:C$35,A12,Meetings!D$6:D$35,F12,Meetings!T$6:T$35,"Qualifies",Meetings!S$6:S$35,"Conditional bonus"),"")</x:f>
      </x:c>
      <x:c r="R12" s="49"/>
      <x:c r="S12" s="30"/>
      <x:c r="T12" s="41" t="str">
        <x:f>IF(A12="","",SUMIFS(Meetings!W$6:W$35,Meetings!B$6:B$35,B12,Meetings!C$6:C$35,A12,Meetings!S$6:S$35,"Conditional bonus"))</x:f>
      </x:c>
      <x:c r="U12" s="41" t="str">
        <x:f>IF(A12="","",SUMIFS(Meetings!X$6:X$35,Meetings!B$6:B$35,B12,Meetings!C$6:C$35,A12,Meetings!S$6:S$35,"Conditional bonus"))</x:f>
      </x:c>
      <x:c r="V12" s="41" t="str">
        <x:f>IF(A12="","",SUMIFS(Meetings!Y$6:Y$35,Meetings!B$6:B$35,B12,Meetings!C$6:C$35,A12,Meetings!S$6:S$35,"Conditional bonus"))</x:f>
      </x:c>
      <x:c r="W12" s="48" t="str">
        <x:f>IF(A12="","",IF(OR(AND(R12&lt;&gt;"",NOT(ISNUMBER(R12))),R12&lt;0,R12&gt;1,AND(R12&gt;0,OR(S12="",I12&lt;&gt;"Ready"))),"Review refund basis / evidence","Valid"))</x:f>
      </x:c>
      <x:c r="X12" s="41" t="str">
        <x:f>IF(A12="","",MAX(0,K12-T12))</x:f>
      </x:c>
    </x:row>
    <x:row r="13" ht="42" customHeight="1">
      <x:c r="A13" s="27"/>
      <x:c r="B13" s="27"/>
      <x:c r="C13" s="28"/>
      <x:c r="D13" s="28" t="str">
        <x:f>IF(ISNUMBER(C13),C13+60,"")</x:f>
      </x:c>
      <x:c r="E13" s="27"/>
      <x:c r="F13" s="28"/>
      <x:c r="G13" s="28" t="str">
        <x:f>IF(OR(F13="",COUNTIF(Referrals!A$6:A$35,F13)&lt;&gt;1),"",IF(INDEX(Referrals!H$6:H$35,MATCH(F13,Referrals!A$6:A$35,0))&gt;0,INDEX(Referrals!H$6:H$35,MATCH(F13,Referrals!A$6:A$35,0)),""))</x:f>
      </x:c>
      <x:c r="H13" s="28"/>
      <x:c r="I13" s="39" t="str">
        <x:f>IF(A13="","",IF(OR(B13="",NOT(ISNUMBER(C13)),E13="",COUNTIFS(A$6:A$35,A13,B$6:B$35,B13)&lt;&gt;1),"Review pilot record",IF(OR(F13="",G13="",H13=""),"Awaiting eligible cleared payment",IF(AND(OR(INDEX(Referrals!B$6:B$35,MATCH(F13,Referrals!A$6:A$35,0))=B13,AND(INDEX(Referrals!Q$6:Q$35,MATCH(F13,Referrals!A$6:A$35,0))=B13,INDEX(Referrals!R$6:R$35,MATCH(F13,Referrals!A$6:A$35,0))&lt;&gt;"")),INDEX(Referrals!D$6:D$35,MATCH(F13,Referrals!A$6:A$35,0))="Outbound opportunity",ISNUMBER(G13),ISNUMBER(INDEX(Referrals!G$6:G$35,MATCH(F13,Referrals!A$6:A$35,0))),INDEX(Referrals!G$6:G$35,MATCH(F13,Referrals!A$6:A$35,0))&gt;0,INDEX(Referrals!G$6:G$35,MATCH(F13,Referrals!A$6:A$35,0))&lt;=G13,ISNUMBER(INDEX(Referrals!F$6:F$35,MATCH(F13,Referrals!A$6:A$35,0))),INDEX(Referrals!F$6:F$35,MATCH(F13,Referrals!A$6:A$35,0))&gt;0,G13&gt;=INDEX(Referrals!F$6:F$35,MATCH(F13,Referrals!A$6:A$35,0)),G13&lt;=EDATE(INDEX(Referrals!F$6:F$35,MATCH(F13,Referrals!A$6:A$35,0)),12),OR(INDEX(Referrals!E$6:E$35,MATCH(F13,Referrals!A$6:A$35,0))="Accepted",INDEX(Referrals!E$6:E$35,MATCH(F13,Referrals!A$6:A$35,0))="Proposal",INDEX(Referrals!E$6:E$35,MATCH(F13,Referrals!A$6:A$35,0))="Won",INDEX(Referrals!E$6:E$35,MATCH(F13,Referrals!A$6:A$35,0))="Closed"),COUNTIFS(Meetings!B$6:B$35,B13,Meetings!C$6:C$35,A13,Meetings!D$6:D$35,F13,Meetings!T$6:T$35,"Qualifies",Meetings!S$6:S$35,"Conditional bonus",Meetings!G$6:G$35,"&lt;="&amp;G13)=1,COUNTIFS(Payments!B$6:B$35,F13,Payments!E$6:E$35,G13,Payments!F$6:F$35,"&gt;0",Payments!N$6:N$35,"&lt;&gt;")&gt;0),"Ready","Review trigger evidence"))))</x:f>
      </x:c>
      <x:c r="J13" s="40" t="str">
        <x:f>IF(A13="","",COUNTIFS(Meetings!B$6:B$35,B13,Meetings!C$6:C$35,A13,Meetings!L$6:L$35,100,Meetings!S$6:S$35,"Conditional bonus"))</x:f>
      </x:c>
      <x:c r="K13" s="41" t="str">
        <x:f>IF(A13="","",SUMIFS(Meetings!L$6:L$35,Meetings!B$6:B$35,B13,Meetings!C$6:C$35,A13,Meetings!S$6:S$35,"Conditional bonus"))</x:f>
      </x:c>
      <x:c r="L13" s="41" t="str">
        <x:f>IF(A13="","",SUMIFS(Meetings!M$6:M$35,Meetings!B$6:B$35,B13,Meetings!C$6:C$35,A13,Meetings!S$6:S$35,"Conditional bonus"))</x:f>
      </x:c>
      <x:c r="M13" s="41" t="str">
        <x:f>IF(A13="","",IF(AND(I13="Ready",W13="Valid",COUNTIFS(Meetings!B$6:B$35,B13,Meetings!C$6:C$35,A13,Meetings!S$6:S$35,"Conditional bonus",Meetings!V$6:V$35,"Review payment / refund reconciliation")=0),SUMIFS(Meetings!P$6:P$35,Meetings!B$6:B$35,B13,Meetings!C$6:C$35,A13,Meetings!S$6:S$35,"Conditional bonus"),0))</x:f>
      </x:c>
      <x:c r="N13" s="41" t="str">
        <x:f>IF(A13="","",IF(AND(I13&lt;&gt;"Ready",W13="Valid"),MAX(0,K13-T13-L13+U13),0))</x:f>
      </x:c>
      <x:c r="O13" s="39" t="str">
        <x:f>IF(A13="","",IF(OR(W13&lt;&gt;"Valid",COUNTIFS(Meetings!B$6:B$35,B13,Meetings!C$6:C$35,A13,Meetings!S$6:S$35,"Conditional bonus",Meetings!V$6:V$35,"Review payment / refund reconciliation")&gt;0),"Review payments / refund reconciliation",IF(V13&gt;0,"Recovery outstanding; reconcile separately",IF(I13="Ready",IF(M13=0,"Settled / no outstanding bonus","Payable; reconcile individual due dates"),I13))))</x:f>
      </x:c>
      <x:c r="P13" s="39" t="str">
        <x:f>IF(AND(I13="Ready",K13&gt;0),WORKDAY(MAX(G13,Q13),5),"")</x:f>
      </x:c>
      <x:c r="Q13" s="39" t="str">
        <x:f>IF(I13="Ready",SUMIFS(Meetings!I$6:I$35,Meetings!B$6:B$35,B13,Meetings!C$6:C$35,A13,Meetings!D$6:D$35,F13,Meetings!T$6:T$35,"Qualifies",Meetings!S$6:S$35,"Conditional bonus"),"")</x:f>
      </x:c>
      <x:c r="R13" s="49"/>
      <x:c r="S13" s="30"/>
      <x:c r="T13" s="41" t="str">
        <x:f>IF(A13="","",SUMIFS(Meetings!W$6:W$35,Meetings!B$6:B$35,B13,Meetings!C$6:C$35,A13,Meetings!S$6:S$35,"Conditional bonus"))</x:f>
      </x:c>
      <x:c r="U13" s="41" t="str">
        <x:f>IF(A13="","",SUMIFS(Meetings!X$6:X$35,Meetings!B$6:B$35,B13,Meetings!C$6:C$35,A13,Meetings!S$6:S$35,"Conditional bonus"))</x:f>
      </x:c>
      <x:c r="V13" s="41" t="str">
        <x:f>IF(A13="","",SUMIFS(Meetings!Y$6:Y$35,Meetings!B$6:B$35,B13,Meetings!C$6:C$35,A13,Meetings!S$6:S$35,"Conditional bonus"))</x:f>
      </x:c>
      <x:c r="W13" s="48" t="str">
        <x:f>IF(A13="","",IF(OR(AND(R13&lt;&gt;"",NOT(ISNUMBER(R13))),R13&lt;0,R13&gt;1,AND(R13&gt;0,OR(S13="",I13&lt;&gt;"Ready"))),"Review refund basis / evidence","Valid"))</x:f>
      </x:c>
      <x:c r="X13" s="41" t="str">
        <x:f>IF(A13="","",MAX(0,K13-T13))</x:f>
      </x:c>
    </x:row>
    <x:row r="14" ht="42" customHeight="1">
      <x:c r="A14" s="27"/>
      <x:c r="B14" s="27"/>
      <x:c r="C14" s="28"/>
      <x:c r="D14" s="28" t="str">
        <x:f>IF(ISNUMBER(C14),C14+60,"")</x:f>
      </x:c>
      <x:c r="E14" s="27"/>
      <x:c r="F14" s="28"/>
      <x:c r="G14" s="28" t="str">
        <x:f>IF(OR(F14="",COUNTIF(Referrals!A$6:A$35,F14)&lt;&gt;1),"",IF(INDEX(Referrals!H$6:H$35,MATCH(F14,Referrals!A$6:A$35,0))&gt;0,INDEX(Referrals!H$6:H$35,MATCH(F14,Referrals!A$6:A$35,0)),""))</x:f>
      </x:c>
      <x:c r="H14" s="28"/>
      <x:c r="I14" s="39" t="str">
        <x:f>IF(A14="","",IF(OR(B14="",NOT(ISNUMBER(C14)),E14="",COUNTIFS(A$6:A$35,A14,B$6:B$35,B14)&lt;&gt;1),"Review pilot record",IF(OR(F14="",G14="",H14=""),"Awaiting eligible cleared payment",IF(AND(OR(INDEX(Referrals!B$6:B$35,MATCH(F14,Referrals!A$6:A$35,0))=B14,AND(INDEX(Referrals!Q$6:Q$35,MATCH(F14,Referrals!A$6:A$35,0))=B14,INDEX(Referrals!R$6:R$35,MATCH(F14,Referrals!A$6:A$35,0))&lt;&gt;"")),INDEX(Referrals!D$6:D$35,MATCH(F14,Referrals!A$6:A$35,0))="Outbound opportunity",ISNUMBER(G14),ISNUMBER(INDEX(Referrals!G$6:G$35,MATCH(F14,Referrals!A$6:A$35,0))),INDEX(Referrals!G$6:G$35,MATCH(F14,Referrals!A$6:A$35,0))&gt;0,INDEX(Referrals!G$6:G$35,MATCH(F14,Referrals!A$6:A$35,0))&lt;=G14,ISNUMBER(INDEX(Referrals!F$6:F$35,MATCH(F14,Referrals!A$6:A$35,0))),INDEX(Referrals!F$6:F$35,MATCH(F14,Referrals!A$6:A$35,0))&gt;0,G14&gt;=INDEX(Referrals!F$6:F$35,MATCH(F14,Referrals!A$6:A$35,0)),G14&lt;=EDATE(INDEX(Referrals!F$6:F$35,MATCH(F14,Referrals!A$6:A$35,0)),12),OR(INDEX(Referrals!E$6:E$35,MATCH(F14,Referrals!A$6:A$35,0))="Accepted",INDEX(Referrals!E$6:E$35,MATCH(F14,Referrals!A$6:A$35,0))="Proposal",INDEX(Referrals!E$6:E$35,MATCH(F14,Referrals!A$6:A$35,0))="Won",INDEX(Referrals!E$6:E$35,MATCH(F14,Referrals!A$6:A$35,0))="Closed"),COUNTIFS(Meetings!B$6:B$35,B14,Meetings!C$6:C$35,A14,Meetings!D$6:D$35,F14,Meetings!T$6:T$35,"Qualifies",Meetings!S$6:S$35,"Conditional bonus",Meetings!G$6:G$35,"&lt;="&amp;G14)=1,COUNTIFS(Payments!B$6:B$35,F14,Payments!E$6:E$35,G14,Payments!F$6:F$35,"&gt;0",Payments!N$6:N$35,"&lt;&gt;")&gt;0),"Ready","Review trigger evidence"))))</x:f>
      </x:c>
      <x:c r="J14" s="40" t="str">
        <x:f>IF(A14="","",COUNTIFS(Meetings!B$6:B$35,B14,Meetings!C$6:C$35,A14,Meetings!L$6:L$35,100,Meetings!S$6:S$35,"Conditional bonus"))</x:f>
      </x:c>
      <x:c r="K14" s="41" t="str">
        <x:f>IF(A14="","",SUMIFS(Meetings!L$6:L$35,Meetings!B$6:B$35,B14,Meetings!C$6:C$35,A14,Meetings!S$6:S$35,"Conditional bonus"))</x:f>
      </x:c>
      <x:c r="L14" s="41" t="str">
        <x:f>IF(A14="","",SUMIFS(Meetings!M$6:M$35,Meetings!B$6:B$35,B14,Meetings!C$6:C$35,A14,Meetings!S$6:S$35,"Conditional bonus"))</x:f>
      </x:c>
      <x:c r="M14" s="41" t="str">
        <x:f>IF(A14="","",IF(AND(I14="Ready",W14="Valid",COUNTIFS(Meetings!B$6:B$35,B14,Meetings!C$6:C$35,A14,Meetings!S$6:S$35,"Conditional bonus",Meetings!V$6:V$35,"Review payment / refund reconciliation")=0),SUMIFS(Meetings!P$6:P$35,Meetings!B$6:B$35,B14,Meetings!C$6:C$35,A14,Meetings!S$6:S$35,"Conditional bonus"),0))</x:f>
      </x:c>
      <x:c r="N14" s="41" t="str">
        <x:f>IF(A14="","",IF(AND(I14&lt;&gt;"Ready",W14="Valid"),MAX(0,K14-T14-L14+U14),0))</x:f>
      </x:c>
      <x:c r="O14" s="39" t="str">
        <x:f>IF(A14="","",IF(OR(W14&lt;&gt;"Valid",COUNTIFS(Meetings!B$6:B$35,B14,Meetings!C$6:C$35,A14,Meetings!S$6:S$35,"Conditional bonus",Meetings!V$6:V$35,"Review payment / refund reconciliation")&gt;0),"Review payments / refund reconciliation",IF(V14&gt;0,"Recovery outstanding; reconcile separately",IF(I14="Ready",IF(M14=0,"Settled / no outstanding bonus","Payable; reconcile individual due dates"),I14))))</x:f>
      </x:c>
      <x:c r="P14" s="39" t="str">
        <x:f>IF(AND(I14="Ready",K14&gt;0),WORKDAY(MAX(G14,Q14),5),"")</x:f>
      </x:c>
      <x:c r="Q14" s="39" t="str">
        <x:f>IF(I14="Ready",SUMIFS(Meetings!I$6:I$35,Meetings!B$6:B$35,B14,Meetings!C$6:C$35,A14,Meetings!D$6:D$35,F14,Meetings!T$6:T$35,"Qualifies",Meetings!S$6:S$35,"Conditional bonus"),"")</x:f>
      </x:c>
      <x:c r="R14" s="49"/>
      <x:c r="S14" s="30"/>
      <x:c r="T14" s="41" t="str">
        <x:f>IF(A14="","",SUMIFS(Meetings!W$6:W$35,Meetings!B$6:B$35,B14,Meetings!C$6:C$35,A14,Meetings!S$6:S$35,"Conditional bonus"))</x:f>
      </x:c>
      <x:c r="U14" s="41" t="str">
        <x:f>IF(A14="","",SUMIFS(Meetings!X$6:X$35,Meetings!B$6:B$35,B14,Meetings!C$6:C$35,A14,Meetings!S$6:S$35,"Conditional bonus"))</x:f>
      </x:c>
      <x:c r="V14" s="41" t="str">
        <x:f>IF(A14="","",SUMIFS(Meetings!Y$6:Y$35,Meetings!B$6:B$35,B14,Meetings!C$6:C$35,A14,Meetings!S$6:S$35,"Conditional bonus"))</x:f>
      </x:c>
      <x:c r="W14" s="48" t="str">
        <x:f>IF(A14="","",IF(OR(AND(R14&lt;&gt;"",NOT(ISNUMBER(R14))),R14&lt;0,R14&gt;1,AND(R14&gt;0,OR(S14="",I14&lt;&gt;"Ready"))),"Review refund basis / evidence","Valid"))</x:f>
      </x:c>
      <x:c r="X14" s="41" t="str">
        <x:f>IF(A14="","",MAX(0,K14-T14))</x:f>
      </x:c>
    </x:row>
    <x:row r="15" ht="42" customHeight="1">
      <x:c r="A15" s="27"/>
      <x:c r="B15" s="27"/>
      <x:c r="C15" s="28"/>
      <x:c r="D15" s="28" t="str">
        <x:f>IF(ISNUMBER(C15),C15+60,"")</x:f>
      </x:c>
      <x:c r="E15" s="27"/>
      <x:c r="F15" s="28"/>
      <x:c r="G15" s="28" t="str">
        <x:f>IF(OR(F15="",COUNTIF(Referrals!A$6:A$35,F15)&lt;&gt;1),"",IF(INDEX(Referrals!H$6:H$35,MATCH(F15,Referrals!A$6:A$35,0))&gt;0,INDEX(Referrals!H$6:H$35,MATCH(F15,Referrals!A$6:A$35,0)),""))</x:f>
      </x:c>
      <x:c r="H15" s="28"/>
      <x:c r="I15" s="39" t="str">
        <x:f>IF(A15="","",IF(OR(B15="",NOT(ISNUMBER(C15)),E15="",COUNTIFS(A$6:A$35,A15,B$6:B$35,B15)&lt;&gt;1),"Review pilot record",IF(OR(F15="",G15="",H15=""),"Awaiting eligible cleared payment",IF(AND(OR(INDEX(Referrals!B$6:B$35,MATCH(F15,Referrals!A$6:A$35,0))=B15,AND(INDEX(Referrals!Q$6:Q$35,MATCH(F15,Referrals!A$6:A$35,0))=B15,INDEX(Referrals!R$6:R$35,MATCH(F15,Referrals!A$6:A$35,0))&lt;&gt;"")),INDEX(Referrals!D$6:D$35,MATCH(F15,Referrals!A$6:A$35,0))="Outbound opportunity",ISNUMBER(G15),ISNUMBER(INDEX(Referrals!G$6:G$35,MATCH(F15,Referrals!A$6:A$35,0))),INDEX(Referrals!G$6:G$35,MATCH(F15,Referrals!A$6:A$35,0))&gt;0,INDEX(Referrals!G$6:G$35,MATCH(F15,Referrals!A$6:A$35,0))&lt;=G15,ISNUMBER(INDEX(Referrals!F$6:F$35,MATCH(F15,Referrals!A$6:A$35,0))),INDEX(Referrals!F$6:F$35,MATCH(F15,Referrals!A$6:A$35,0))&gt;0,G15&gt;=INDEX(Referrals!F$6:F$35,MATCH(F15,Referrals!A$6:A$35,0)),G15&lt;=EDATE(INDEX(Referrals!F$6:F$35,MATCH(F15,Referrals!A$6:A$35,0)),12),OR(INDEX(Referrals!E$6:E$35,MATCH(F15,Referrals!A$6:A$35,0))="Accepted",INDEX(Referrals!E$6:E$35,MATCH(F15,Referrals!A$6:A$35,0))="Proposal",INDEX(Referrals!E$6:E$35,MATCH(F15,Referrals!A$6:A$35,0))="Won",INDEX(Referrals!E$6:E$35,MATCH(F15,Referrals!A$6:A$35,0))="Closed"),COUNTIFS(Meetings!B$6:B$35,B15,Meetings!C$6:C$35,A15,Meetings!D$6:D$35,F15,Meetings!T$6:T$35,"Qualifies",Meetings!S$6:S$35,"Conditional bonus",Meetings!G$6:G$35,"&lt;="&amp;G15)=1,COUNTIFS(Payments!B$6:B$35,F15,Payments!E$6:E$35,G15,Payments!F$6:F$35,"&gt;0",Payments!N$6:N$35,"&lt;&gt;")&gt;0),"Ready","Review trigger evidence"))))</x:f>
      </x:c>
      <x:c r="J15" s="40" t="str">
        <x:f>IF(A15="","",COUNTIFS(Meetings!B$6:B$35,B15,Meetings!C$6:C$35,A15,Meetings!L$6:L$35,100,Meetings!S$6:S$35,"Conditional bonus"))</x:f>
      </x:c>
      <x:c r="K15" s="41" t="str">
        <x:f>IF(A15="","",SUMIFS(Meetings!L$6:L$35,Meetings!B$6:B$35,B15,Meetings!C$6:C$35,A15,Meetings!S$6:S$35,"Conditional bonus"))</x:f>
      </x:c>
      <x:c r="L15" s="41" t="str">
        <x:f>IF(A15="","",SUMIFS(Meetings!M$6:M$35,Meetings!B$6:B$35,B15,Meetings!C$6:C$35,A15,Meetings!S$6:S$35,"Conditional bonus"))</x:f>
      </x:c>
      <x:c r="M15" s="41" t="str">
        <x:f>IF(A15="","",IF(AND(I15="Ready",W15="Valid",COUNTIFS(Meetings!B$6:B$35,B15,Meetings!C$6:C$35,A15,Meetings!S$6:S$35,"Conditional bonus",Meetings!V$6:V$35,"Review payment / refund reconciliation")=0),SUMIFS(Meetings!P$6:P$35,Meetings!B$6:B$35,B15,Meetings!C$6:C$35,A15,Meetings!S$6:S$35,"Conditional bonus"),0))</x:f>
      </x:c>
      <x:c r="N15" s="41" t="str">
        <x:f>IF(A15="","",IF(AND(I15&lt;&gt;"Ready",W15="Valid"),MAX(0,K15-T15-L15+U15),0))</x:f>
      </x:c>
      <x:c r="O15" s="39" t="str">
        <x:f>IF(A15="","",IF(OR(W15&lt;&gt;"Valid",COUNTIFS(Meetings!B$6:B$35,B15,Meetings!C$6:C$35,A15,Meetings!S$6:S$35,"Conditional bonus",Meetings!V$6:V$35,"Review payment / refund reconciliation")&gt;0),"Review payments / refund reconciliation",IF(V15&gt;0,"Recovery outstanding; reconcile separately",IF(I15="Ready",IF(M15=0,"Settled / no outstanding bonus","Payable; reconcile individual due dates"),I15))))</x:f>
      </x:c>
      <x:c r="P15" s="39" t="str">
        <x:f>IF(AND(I15="Ready",K15&gt;0),WORKDAY(MAX(G15,Q15),5),"")</x:f>
      </x:c>
      <x:c r="Q15" s="39" t="str">
        <x:f>IF(I15="Ready",SUMIFS(Meetings!I$6:I$35,Meetings!B$6:B$35,B15,Meetings!C$6:C$35,A15,Meetings!D$6:D$35,F15,Meetings!T$6:T$35,"Qualifies",Meetings!S$6:S$35,"Conditional bonus"),"")</x:f>
      </x:c>
      <x:c r="R15" s="49"/>
      <x:c r="S15" s="30"/>
      <x:c r="T15" s="41" t="str">
        <x:f>IF(A15="","",SUMIFS(Meetings!W$6:W$35,Meetings!B$6:B$35,B15,Meetings!C$6:C$35,A15,Meetings!S$6:S$35,"Conditional bonus"))</x:f>
      </x:c>
      <x:c r="U15" s="41" t="str">
        <x:f>IF(A15="","",SUMIFS(Meetings!X$6:X$35,Meetings!B$6:B$35,B15,Meetings!C$6:C$35,A15,Meetings!S$6:S$35,"Conditional bonus"))</x:f>
      </x:c>
      <x:c r="V15" s="41" t="str">
        <x:f>IF(A15="","",SUMIFS(Meetings!Y$6:Y$35,Meetings!B$6:B$35,B15,Meetings!C$6:C$35,A15,Meetings!S$6:S$35,"Conditional bonus"))</x:f>
      </x:c>
      <x:c r="W15" s="48" t="str">
        <x:f>IF(A15="","",IF(OR(AND(R15&lt;&gt;"",NOT(ISNUMBER(R15))),R15&lt;0,R15&gt;1,AND(R15&gt;0,OR(S15="",I15&lt;&gt;"Ready"))),"Review refund basis / evidence","Valid"))</x:f>
      </x:c>
      <x:c r="X15" s="41" t="str">
        <x:f>IF(A15="","",MAX(0,K15-T15))</x:f>
      </x:c>
    </x:row>
    <x:row r="16" ht="42" customHeight="1">
      <x:c r="A16" s="27"/>
      <x:c r="B16" s="27"/>
      <x:c r="C16" s="28"/>
      <x:c r="D16" s="28" t="str">
        <x:f>IF(ISNUMBER(C16),C16+60,"")</x:f>
      </x:c>
      <x:c r="E16" s="27"/>
      <x:c r="F16" s="28"/>
      <x:c r="G16" s="28" t="str">
        <x:f>IF(OR(F16="",COUNTIF(Referrals!A$6:A$35,F16)&lt;&gt;1),"",IF(INDEX(Referrals!H$6:H$35,MATCH(F16,Referrals!A$6:A$35,0))&gt;0,INDEX(Referrals!H$6:H$35,MATCH(F16,Referrals!A$6:A$35,0)),""))</x:f>
      </x:c>
      <x:c r="H16" s="28"/>
      <x:c r="I16" s="39" t="str">
        <x:f>IF(A16="","",IF(OR(B16="",NOT(ISNUMBER(C16)),E16="",COUNTIFS(A$6:A$35,A16,B$6:B$35,B16)&lt;&gt;1),"Review pilot record",IF(OR(F16="",G16="",H16=""),"Awaiting eligible cleared payment",IF(AND(OR(INDEX(Referrals!B$6:B$35,MATCH(F16,Referrals!A$6:A$35,0))=B16,AND(INDEX(Referrals!Q$6:Q$35,MATCH(F16,Referrals!A$6:A$35,0))=B16,INDEX(Referrals!R$6:R$35,MATCH(F16,Referrals!A$6:A$35,0))&lt;&gt;"")),INDEX(Referrals!D$6:D$35,MATCH(F16,Referrals!A$6:A$35,0))="Outbound opportunity",ISNUMBER(G16),ISNUMBER(INDEX(Referrals!G$6:G$35,MATCH(F16,Referrals!A$6:A$35,0))),INDEX(Referrals!G$6:G$35,MATCH(F16,Referrals!A$6:A$35,0))&gt;0,INDEX(Referrals!G$6:G$35,MATCH(F16,Referrals!A$6:A$35,0))&lt;=G16,ISNUMBER(INDEX(Referrals!F$6:F$35,MATCH(F16,Referrals!A$6:A$35,0))),INDEX(Referrals!F$6:F$35,MATCH(F16,Referrals!A$6:A$35,0))&gt;0,G16&gt;=INDEX(Referrals!F$6:F$35,MATCH(F16,Referrals!A$6:A$35,0)),G16&lt;=EDATE(INDEX(Referrals!F$6:F$35,MATCH(F16,Referrals!A$6:A$35,0)),12),OR(INDEX(Referrals!E$6:E$35,MATCH(F16,Referrals!A$6:A$35,0))="Accepted",INDEX(Referrals!E$6:E$35,MATCH(F16,Referrals!A$6:A$35,0))="Proposal",INDEX(Referrals!E$6:E$35,MATCH(F16,Referrals!A$6:A$35,0))="Won",INDEX(Referrals!E$6:E$35,MATCH(F16,Referrals!A$6:A$35,0))="Closed"),COUNTIFS(Meetings!B$6:B$35,B16,Meetings!C$6:C$35,A16,Meetings!D$6:D$35,F16,Meetings!T$6:T$35,"Qualifies",Meetings!S$6:S$35,"Conditional bonus",Meetings!G$6:G$35,"&lt;="&amp;G16)=1,COUNTIFS(Payments!B$6:B$35,F16,Payments!E$6:E$35,G16,Payments!F$6:F$35,"&gt;0",Payments!N$6:N$35,"&lt;&gt;")&gt;0),"Ready","Review trigger evidence"))))</x:f>
      </x:c>
      <x:c r="J16" s="40" t="str">
        <x:f>IF(A16="","",COUNTIFS(Meetings!B$6:B$35,B16,Meetings!C$6:C$35,A16,Meetings!L$6:L$35,100,Meetings!S$6:S$35,"Conditional bonus"))</x:f>
      </x:c>
      <x:c r="K16" s="41" t="str">
        <x:f>IF(A16="","",SUMIFS(Meetings!L$6:L$35,Meetings!B$6:B$35,B16,Meetings!C$6:C$35,A16,Meetings!S$6:S$35,"Conditional bonus"))</x:f>
      </x:c>
      <x:c r="L16" s="41" t="str">
        <x:f>IF(A16="","",SUMIFS(Meetings!M$6:M$35,Meetings!B$6:B$35,B16,Meetings!C$6:C$35,A16,Meetings!S$6:S$35,"Conditional bonus"))</x:f>
      </x:c>
      <x:c r="M16" s="41" t="str">
        <x:f>IF(A16="","",IF(AND(I16="Ready",W16="Valid",COUNTIFS(Meetings!B$6:B$35,B16,Meetings!C$6:C$35,A16,Meetings!S$6:S$35,"Conditional bonus",Meetings!V$6:V$35,"Review payment / refund reconciliation")=0),SUMIFS(Meetings!P$6:P$35,Meetings!B$6:B$35,B16,Meetings!C$6:C$35,A16,Meetings!S$6:S$35,"Conditional bonus"),0))</x:f>
      </x:c>
      <x:c r="N16" s="41" t="str">
        <x:f>IF(A16="","",IF(AND(I16&lt;&gt;"Ready",W16="Valid"),MAX(0,K16-T16-L16+U16),0))</x:f>
      </x:c>
      <x:c r="O16" s="39" t="str">
        <x:f>IF(A16="","",IF(OR(W16&lt;&gt;"Valid",COUNTIFS(Meetings!B$6:B$35,B16,Meetings!C$6:C$35,A16,Meetings!S$6:S$35,"Conditional bonus",Meetings!V$6:V$35,"Review payment / refund reconciliation")&gt;0),"Review payments / refund reconciliation",IF(V16&gt;0,"Recovery outstanding; reconcile separately",IF(I16="Ready",IF(M16=0,"Settled / no outstanding bonus","Payable; reconcile individual due dates"),I16))))</x:f>
      </x:c>
      <x:c r="P16" s="39" t="str">
        <x:f>IF(AND(I16="Ready",K16&gt;0),WORKDAY(MAX(G16,Q16),5),"")</x:f>
      </x:c>
      <x:c r="Q16" s="39" t="str">
        <x:f>IF(I16="Ready",SUMIFS(Meetings!I$6:I$35,Meetings!B$6:B$35,B16,Meetings!C$6:C$35,A16,Meetings!D$6:D$35,F16,Meetings!T$6:T$35,"Qualifies",Meetings!S$6:S$35,"Conditional bonus"),"")</x:f>
      </x:c>
      <x:c r="R16" s="49"/>
      <x:c r="S16" s="30"/>
      <x:c r="T16" s="41" t="str">
        <x:f>IF(A16="","",SUMIFS(Meetings!W$6:W$35,Meetings!B$6:B$35,B16,Meetings!C$6:C$35,A16,Meetings!S$6:S$35,"Conditional bonus"))</x:f>
      </x:c>
      <x:c r="U16" s="41" t="str">
        <x:f>IF(A16="","",SUMIFS(Meetings!X$6:X$35,Meetings!B$6:B$35,B16,Meetings!C$6:C$35,A16,Meetings!S$6:S$35,"Conditional bonus"))</x:f>
      </x:c>
      <x:c r="V16" s="41" t="str">
        <x:f>IF(A16="","",SUMIFS(Meetings!Y$6:Y$35,Meetings!B$6:B$35,B16,Meetings!C$6:C$35,A16,Meetings!S$6:S$35,"Conditional bonus"))</x:f>
      </x:c>
      <x:c r="W16" s="48" t="str">
        <x:f>IF(A16="","",IF(OR(AND(R16&lt;&gt;"",NOT(ISNUMBER(R16))),R16&lt;0,R16&gt;1,AND(R16&gt;0,OR(S16="",I16&lt;&gt;"Ready"))),"Review refund basis / evidence","Valid"))</x:f>
      </x:c>
      <x:c r="X16" s="41" t="str">
        <x:f>IF(A16="","",MAX(0,K16-T16))</x:f>
      </x:c>
    </x:row>
    <x:row r="17" ht="42" customHeight="1">
      <x:c r="A17" s="27"/>
      <x:c r="B17" s="27"/>
      <x:c r="C17" s="28"/>
      <x:c r="D17" s="28" t="str">
        <x:f>IF(ISNUMBER(C17),C17+60,"")</x:f>
      </x:c>
      <x:c r="E17" s="27"/>
      <x:c r="F17" s="28"/>
      <x:c r="G17" s="28" t="str">
        <x:f>IF(OR(F17="",COUNTIF(Referrals!A$6:A$35,F17)&lt;&gt;1),"",IF(INDEX(Referrals!H$6:H$35,MATCH(F17,Referrals!A$6:A$35,0))&gt;0,INDEX(Referrals!H$6:H$35,MATCH(F17,Referrals!A$6:A$35,0)),""))</x:f>
      </x:c>
      <x:c r="H17" s="28"/>
      <x:c r="I17" s="39" t="str">
        <x:f>IF(A17="","",IF(OR(B17="",NOT(ISNUMBER(C17)),E17="",COUNTIFS(A$6:A$35,A17,B$6:B$35,B17)&lt;&gt;1),"Review pilot record",IF(OR(F17="",G17="",H17=""),"Awaiting eligible cleared payment",IF(AND(OR(INDEX(Referrals!B$6:B$35,MATCH(F17,Referrals!A$6:A$35,0))=B17,AND(INDEX(Referrals!Q$6:Q$35,MATCH(F17,Referrals!A$6:A$35,0))=B17,INDEX(Referrals!R$6:R$35,MATCH(F17,Referrals!A$6:A$35,0))&lt;&gt;"")),INDEX(Referrals!D$6:D$35,MATCH(F17,Referrals!A$6:A$35,0))="Outbound opportunity",ISNUMBER(G17),ISNUMBER(INDEX(Referrals!G$6:G$35,MATCH(F17,Referrals!A$6:A$35,0))),INDEX(Referrals!G$6:G$35,MATCH(F17,Referrals!A$6:A$35,0))&gt;0,INDEX(Referrals!G$6:G$35,MATCH(F17,Referrals!A$6:A$35,0))&lt;=G17,ISNUMBER(INDEX(Referrals!F$6:F$35,MATCH(F17,Referrals!A$6:A$35,0))),INDEX(Referrals!F$6:F$35,MATCH(F17,Referrals!A$6:A$35,0))&gt;0,G17&gt;=INDEX(Referrals!F$6:F$35,MATCH(F17,Referrals!A$6:A$35,0)),G17&lt;=EDATE(INDEX(Referrals!F$6:F$35,MATCH(F17,Referrals!A$6:A$35,0)),12),OR(INDEX(Referrals!E$6:E$35,MATCH(F17,Referrals!A$6:A$35,0))="Accepted",INDEX(Referrals!E$6:E$35,MATCH(F17,Referrals!A$6:A$35,0))="Proposal",INDEX(Referrals!E$6:E$35,MATCH(F17,Referrals!A$6:A$35,0))="Won",INDEX(Referrals!E$6:E$35,MATCH(F17,Referrals!A$6:A$35,0))="Closed"),COUNTIFS(Meetings!B$6:B$35,B17,Meetings!C$6:C$35,A17,Meetings!D$6:D$35,F17,Meetings!T$6:T$35,"Qualifies",Meetings!S$6:S$35,"Conditional bonus",Meetings!G$6:G$35,"&lt;="&amp;G17)=1,COUNTIFS(Payments!B$6:B$35,F17,Payments!E$6:E$35,G17,Payments!F$6:F$35,"&gt;0",Payments!N$6:N$35,"&lt;&gt;")&gt;0),"Ready","Review trigger evidence"))))</x:f>
      </x:c>
      <x:c r="J17" s="40" t="str">
        <x:f>IF(A17="","",COUNTIFS(Meetings!B$6:B$35,B17,Meetings!C$6:C$35,A17,Meetings!L$6:L$35,100,Meetings!S$6:S$35,"Conditional bonus"))</x:f>
      </x:c>
      <x:c r="K17" s="41" t="str">
        <x:f>IF(A17="","",SUMIFS(Meetings!L$6:L$35,Meetings!B$6:B$35,B17,Meetings!C$6:C$35,A17,Meetings!S$6:S$35,"Conditional bonus"))</x:f>
      </x:c>
      <x:c r="L17" s="41" t="str">
        <x:f>IF(A17="","",SUMIFS(Meetings!M$6:M$35,Meetings!B$6:B$35,B17,Meetings!C$6:C$35,A17,Meetings!S$6:S$35,"Conditional bonus"))</x:f>
      </x:c>
      <x:c r="M17" s="41" t="str">
        <x:f>IF(A17="","",IF(AND(I17="Ready",W17="Valid",COUNTIFS(Meetings!B$6:B$35,B17,Meetings!C$6:C$35,A17,Meetings!S$6:S$35,"Conditional bonus",Meetings!V$6:V$35,"Review payment / refund reconciliation")=0),SUMIFS(Meetings!P$6:P$35,Meetings!B$6:B$35,B17,Meetings!C$6:C$35,A17,Meetings!S$6:S$35,"Conditional bonus"),0))</x:f>
      </x:c>
      <x:c r="N17" s="41" t="str">
        <x:f>IF(A17="","",IF(AND(I17&lt;&gt;"Ready",W17="Valid"),MAX(0,K17-T17-L17+U17),0))</x:f>
      </x:c>
      <x:c r="O17" s="39" t="str">
        <x:f>IF(A17="","",IF(OR(W17&lt;&gt;"Valid",COUNTIFS(Meetings!B$6:B$35,B17,Meetings!C$6:C$35,A17,Meetings!S$6:S$35,"Conditional bonus",Meetings!V$6:V$35,"Review payment / refund reconciliation")&gt;0),"Review payments / refund reconciliation",IF(V17&gt;0,"Recovery outstanding; reconcile separately",IF(I17="Ready",IF(M17=0,"Settled / no outstanding bonus","Payable; reconcile individual due dates"),I17))))</x:f>
      </x:c>
      <x:c r="P17" s="39" t="str">
        <x:f>IF(AND(I17="Ready",K17&gt;0),WORKDAY(MAX(G17,Q17),5),"")</x:f>
      </x:c>
      <x:c r="Q17" s="39" t="str">
        <x:f>IF(I17="Ready",SUMIFS(Meetings!I$6:I$35,Meetings!B$6:B$35,B17,Meetings!C$6:C$35,A17,Meetings!D$6:D$35,F17,Meetings!T$6:T$35,"Qualifies",Meetings!S$6:S$35,"Conditional bonus"),"")</x:f>
      </x:c>
      <x:c r="R17" s="49"/>
      <x:c r="S17" s="30"/>
      <x:c r="T17" s="41" t="str">
        <x:f>IF(A17="","",SUMIFS(Meetings!W$6:W$35,Meetings!B$6:B$35,B17,Meetings!C$6:C$35,A17,Meetings!S$6:S$35,"Conditional bonus"))</x:f>
      </x:c>
      <x:c r="U17" s="41" t="str">
        <x:f>IF(A17="","",SUMIFS(Meetings!X$6:X$35,Meetings!B$6:B$35,B17,Meetings!C$6:C$35,A17,Meetings!S$6:S$35,"Conditional bonus"))</x:f>
      </x:c>
      <x:c r="V17" s="41" t="str">
        <x:f>IF(A17="","",SUMIFS(Meetings!Y$6:Y$35,Meetings!B$6:B$35,B17,Meetings!C$6:C$35,A17,Meetings!S$6:S$35,"Conditional bonus"))</x:f>
      </x:c>
      <x:c r="W17" s="48" t="str">
        <x:f>IF(A17="","",IF(OR(AND(R17&lt;&gt;"",NOT(ISNUMBER(R17))),R17&lt;0,R17&gt;1,AND(R17&gt;0,OR(S17="",I17&lt;&gt;"Ready"))),"Review refund basis / evidence","Valid"))</x:f>
      </x:c>
      <x:c r="X17" s="41" t="str">
        <x:f>IF(A17="","",MAX(0,K17-T17))</x:f>
      </x:c>
    </x:row>
    <x:row r="18" ht="42" customHeight="1">
      <x:c r="A18" s="27"/>
      <x:c r="B18" s="27"/>
      <x:c r="C18" s="28"/>
      <x:c r="D18" s="28" t="str">
        <x:f>IF(ISNUMBER(C18),C18+60,"")</x:f>
      </x:c>
      <x:c r="E18" s="27"/>
      <x:c r="F18" s="28"/>
      <x:c r="G18" s="28" t="str">
        <x:f>IF(OR(F18="",COUNTIF(Referrals!A$6:A$35,F18)&lt;&gt;1),"",IF(INDEX(Referrals!H$6:H$35,MATCH(F18,Referrals!A$6:A$35,0))&gt;0,INDEX(Referrals!H$6:H$35,MATCH(F18,Referrals!A$6:A$35,0)),""))</x:f>
      </x:c>
      <x:c r="H18" s="28"/>
      <x:c r="I18" s="39" t="str">
        <x:f>IF(A18="","",IF(OR(B18="",NOT(ISNUMBER(C18)),E18="",COUNTIFS(A$6:A$35,A18,B$6:B$35,B18)&lt;&gt;1),"Review pilot record",IF(OR(F18="",G18="",H18=""),"Awaiting eligible cleared payment",IF(AND(OR(INDEX(Referrals!B$6:B$35,MATCH(F18,Referrals!A$6:A$35,0))=B18,AND(INDEX(Referrals!Q$6:Q$35,MATCH(F18,Referrals!A$6:A$35,0))=B18,INDEX(Referrals!R$6:R$35,MATCH(F18,Referrals!A$6:A$35,0))&lt;&gt;"")),INDEX(Referrals!D$6:D$35,MATCH(F18,Referrals!A$6:A$35,0))="Outbound opportunity",ISNUMBER(G18),ISNUMBER(INDEX(Referrals!G$6:G$35,MATCH(F18,Referrals!A$6:A$35,0))),INDEX(Referrals!G$6:G$35,MATCH(F18,Referrals!A$6:A$35,0))&gt;0,INDEX(Referrals!G$6:G$35,MATCH(F18,Referrals!A$6:A$35,0))&lt;=G18,ISNUMBER(INDEX(Referrals!F$6:F$35,MATCH(F18,Referrals!A$6:A$35,0))),INDEX(Referrals!F$6:F$35,MATCH(F18,Referrals!A$6:A$35,0))&gt;0,G18&gt;=INDEX(Referrals!F$6:F$35,MATCH(F18,Referrals!A$6:A$35,0)),G18&lt;=EDATE(INDEX(Referrals!F$6:F$35,MATCH(F18,Referrals!A$6:A$35,0)),12),OR(INDEX(Referrals!E$6:E$35,MATCH(F18,Referrals!A$6:A$35,0))="Accepted",INDEX(Referrals!E$6:E$35,MATCH(F18,Referrals!A$6:A$35,0))="Proposal",INDEX(Referrals!E$6:E$35,MATCH(F18,Referrals!A$6:A$35,0))="Won",INDEX(Referrals!E$6:E$35,MATCH(F18,Referrals!A$6:A$35,0))="Closed"),COUNTIFS(Meetings!B$6:B$35,B18,Meetings!C$6:C$35,A18,Meetings!D$6:D$35,F18,Meetings!T$6:T$35,"Qualifies",Meetings!S$6:S$35,"Conditional bonus",Meetings!G$6:G$35,"&lt;="&amp;G18)=1,COUNTIFS(Payments!B$6:B$35,F18,Payments!E$6:E$35,G18,Payments!F$6:F$35,"&gt;0",Payments!N$6:N$35,"&lt;&gt;")&gt;0),"Ready","Review trigger evidence"))))</x:f>
      </x:c>
      <x:c r="J18" s="40" t="str">
        <x:f>IF(A18="","",COUNTIFS(Meetings!B$6:B$35,B18,Meetings!C$6:C$35,A18,Meetings!L$6:L$35,100,Meetings!S$6:S$35,"Conditional bonus"))</x:f>
      </x:c>
      <x:c r="K18" s="41" t="str">
        <x:f>IF(A18="","",SUMIFS(Meetings!L$6:L$35,Meetings!B$6:B$35,B18,Meetings!C$6:C$35,A18,Meetings!S$6:S$35,"Conditional bonus"))</x:f>
      </x:c>
      <x:c r="L18" s="41" t="str">
        <x:f>IF(A18="","",SUMIFS(Meetings!M$6:M$35,Meetings!B$6:B$35,B18,Meetings!C$6:C$35,A18,Meetings!S$6:S$35,"Conditional bonus"))</x:f>
      </x:c>
      <x:c r="M18" s="41" t="str">
        <x:f>IF(A18="","",IF(AND(I18="Ready",W18="Valid",COUNTIFS(Meetings!B$6:B$35,B18,Meetings!C$6:C$35,A18,Meetings!S$6:S$35,"Conditional bonus",Meetings!V$6:V$35,"Review payment / refund reconciliation")=0),SUMIFS(Meetings!P$6:P$35,Meetings!B$6:B$35,B18,Meetings!C$6:C$35,A18,Meetings!S$6:S$35,"Conditional bonus"),0))</x:f>
      </x:c>
      <x:c r="N18" s="41" t="str">
        <x:f>IF(A18="","",IF(AND(I18&lt;&gt;"Ready",W18="Valid"),MAX(0,K18-T18-L18+U18),0))</x:f>
      </x:c>
      <x:c r="O18" s="39" t="str">
        <x:f>IF(A18="","",IF(OR(W18&lt;&gt;"Valid",COUNTIFS(Meetings!B$6:B$35,B18,Meetings!C$6:C$35,A18,Meetings!S$6:S$35,"Conditional bonus",Meetings!V$6:V$35,"Review payment / refund reconciliation")&gt;0),"Review payments / refund reconciliation",IF(V18&gt;0,"Recovery outstanding; reconcile separately",IF(I18="Ready",IF(M18=0,"Settled / no outstanding bonus","Payable; reconcile individual due dates"),I18))))</x:f>
      </x:c>
      <x:c r="P18" s="39" t="str">
        <x:f>IF(AND(I18="Ready",K18&gt;0),WORKDAY(MAX(G18,Q18),5),"")</x:f>
      </x:c>
      <x:c r="Q18" s="39" t="str">
        <x:f>IF(I18="Ready",SUMIFS(Meetings!I$6:I$35,Meetings!B$6:B$35,B18,Meetings!C$6:C$35,A18,Meetings!D$6:D$35,F18,Meetings!T$6:T$35,"Qualifies",Meetings!S$6:S$35,"Conditional bonus"),"")</x:f>
      </x:c>
      <x:c r="R18" s="49"/>
      <x:c r="S18" s="30"/>
      <x:c r="T18" s="41" t="str">
        <x:f>IF(A18="","",SUMIFS(Meetings!W$6:W$35,Meetings!B$6:B$35,B18,Meetings!C$6:C$35,A18,Meetings!S$6:S$35,"Conditional bonus"))</x:f>
      </x:c>
      <x:c r="U18" s="41" t="str">
        <x:f>IF(A18="","",SUMIFS(Meetings!X$6:X$35,Meetings!B$6:B$35,B18,Meetings!C$6:C$35,A18,Meetings!S$6:S$35,"Conditional bonus"))</x:f>
      </x:c>
      <x:c r="V18" s="41" t="str">
        <x:f>IF(A18="","",SUMIFS(Meetings!Y$6:Y$35,Meetings!B$6:B$35,B18,Meetings!C$6:C$35,A18,Meetings!S$6:S$35,"Conditional bonus"))</x:f>
      </x:c>
      <x:c r="W18" s="48" t="str">
        <x:f>IF(A18="","",IF(OR(AND(R18&lt;&gt;"",NOT(ISNUMBER(R18))),R18&lt;0,R18&gt;1,AND(R18&gt;0,OR(S18="",I18&lt;&gt;"Ready"))),"Review refund basis / evidence","Valid"))</x:f>
      </x:c>
      <x:c r="X18" s="41" t="str">
        <x:f>IF(A18="","",MAX(0,K18-T18))</x:f>
      </x:c>
    </x:row>
    <x:row r="19" ht="42" customHeight="1">
      <x:c r="A19" s="27"/>
      <x:c r="B19" s="27"/>
      <x:c r="C19" s="28"/>
      <x:c r="D19" s="28" t="str">
        <x:f>IF(ISNUMBER(C19),C19+60,"")</x:f>
      </x:c>
      <x:c r="E19" s="27"/>
      <x:c r="F19" s="28"/>
      <x:c r="G19" s="28" t="str">
        <x:f>IF(OR(F19="",COUNTIF(Referrals!A$6:A$35,F19)&lt;&gt;1),"",IF(INDEX(Referrals!H$6:H$35,MATCH(F19,Referrals!A$6:A$35,0))&gt;0,INDEX(Referrals!H$6:H$35,MATCH(F19,Referrals!A$6:A$35,0)),""))</x:f>
      </x:c>
      <x:c r="H19" s="28"/>
      <x:c r="I19" s="39" t="str">
        <x:f>IF(A19="","",IF(OR(B19="",NOT(ISNUMBER(C19)),E19="",COUNTIFS(A$6:A$35,A19,B$6:B$35,B19)&lt;&gt;1),"Review pilot record",IF(OR(F19="",G19="",H19=""),"Awaiting eligible cleared payment",IF(AND(OR(INDEX(Referrals!B$6:B$35,MATCH(F19,Referrals!A$6:A$35,0))=B19,AND(INDEX(Referrals!Q$6:Q$35,MATCH(F19,Referrals!A$6:A$35,0))=B19,INDEX(Referrals!R$6:R$35,MATCH(F19,Referrals!A$6:A$35,0))&lt;&gt;"")),INDEX(Referrals!D$6:D$35,MATCH(F19,Referrals!A$6:A$35,0))="Outbound opportunity",ISNUMBER(G19),ISNUMBER(INDEX(Referrals!G$6:G$35,MATCH(F19,Referrals!A$6:A$35,0))),INDEX(Referrals!G$6:G$35,MATCH(F19,Referrals!A$6:A$35,0))&gt;0,INDEX(Referrals!G$6:G$35,MATCH(F19,Referrals!A$6:A$35,0))&lt;=G19,ISNUMBER(INDEX(Referrals!F$6:F$35,MATCH(F19,Referrals!A$6:A$35,0))),INDEX(Referrals!F$6:F$35,MATCH(F19,Referrals!A$6:A$35,0))&gt;0,G19&gt;=INDEX(Referrals!F$6:F$35,MATCH(F19,Referrals!A$6:A$35,0)),G19&lt;=EDATE(INDEX(Referrals!F$6:F$35,MATCH(F19,Referrals!A$6:A$35,0)),12),OR(INDEX(Referrals!E$6:E$35,MATCH(F19,Referrals!A$6:A$35,0))="Accepted",INDEX(Referrals!E$6:E$35,MATCH(F19,Referrals!A$6:A$35,0))="Proposal",INDEX(Referrals!E$6:E$35,MATCH(F19,Referrals!A$6:A$35,0))="Won",INDEX(Referrals!E$6:E$35,MATCH(F19,Referrals!A$6:A$35,0))="Closed"),COUNTIFS(Meetings!B$6:B$35,B19,Meetings!C$6:C$35,A19,Meetings!D$6:D$35,F19,Meetings!T$6:T$35,"Qualifies",Meetings!S$6:S$35,"Conditional bonus",Meetings!G$6:G$35,"&lt;="&amp;G19)=1,COUNTIFS(Payments!B$6:B$35,F19,Payments!E$6:E$35,G19,Payments!F$6:F$35,"&gt;0",Payments!N$6:N$35,"&lt;&gt;")&gt;0),"Ready","Review trigger evidence"))))</x:f>
      </x:c>
      <x:c r="J19" s="40" t="str">
        <x:f>IF(A19="","",COUNTIFS(Meetings!B$6:B$35,B19,Meetings!C$6:C$35,A19,Meetings!L$6:L$35,100,Meetings!S$6:S$35,"Conditional bonus"))</x:f>
      </x:c>
      <x:c r="K19" s="41" t="str">
        <x:f>IF(A19="","",SUMIFS(Meetings!L$6:L$35,Meetings!B$6:B$35,B19,Meetings!C$6:C$35,A19,Meetings!S$6:S$35,"Conditional bonus"))</x:f>
      </x:c>
      <x:c r="L19" s="41" t="str">
        <x:f>IF(A19="","",SUMIFS(Meetings!M$6:M$35,Meetings!B$6:B$35,B19,Meetings!C$6:C$35,A19,Meetings!S$6:S$35,"Conditional bonus"))</x:f>
      </x:c>
      <x:c r="M19" s="41" t="str">
        <x:f>IF(A19="","",IF(AND(I19="Ready",W19="Valid",COUNTIFS(Meetings!B$6:B$35,B19,Meetings!C$6:C$35,A19,Meetings!S$6:S$35,"Conditional bonus",Meetings!V$6:V$35,"Review payment / refund reconciliation")=0),SUMIFS(Meetings!P$6:P$35,Meetings!B$6:B$35,B19,Meetings!C$6:C$35,A19,Meetings!S$6:S$35,"Conditional bonus"),0))</x:f>
      </x:c>
      <x:c r="N19" s="41" t="str">
        <x:f>IF(A19="","",IF(AND(I19&lt;&gt;"Ready",W19="Valid"),MAX(0,K19-T19-L19+U19),0))</x:f>
      </x:c>
      <x:c r="O19" s="39" t="str">
        <x:f>IF(A19="","",IF(OR(W19&lt;&gt;"Valid",COUNTIFS(Meetings!B$6:B$35,B19,Meetings!C$6:C$35,A19,Meetings!S$6:S$35,"Conditional bonus",Meetings!V$6:V$35,"Review payment / refund reconciliation")&gt;0),"Review payments / refund reconciliation",IF(V19&gt;0,"Recovery outstanding; reconcile separately",IF(I19="Ready",IF(M19=0,"Settled / no outstanding bonus","Payable; reconcile individual due dates"),I19))))</x:f>
      </x:c>
      <x:c r="P19" s="39" t="str">
        <x:f>IF(AND(I19="Ready",K19&gt;0),WORKDAY(MAX(G19,Q19),5),"")</x:f>
      </x:c>
      <x:c r="Q19" s="39" t="str">
        <x:f>IF(I19="Ready",SUMIFS(Meetings!I$6:I$35,Meetings!B$6:B$35,B19,Meetings!C$6:C$35,A19,Meetings!D$6:D$35,F19,Meetings!T$6:T$35,"Qualifies",Meetings!S$6:S$35,"Conditional bonus"),"")</x:f>
      </x:c>
      <x:c r="R19" s="49"/>
      <x:c r="S19" s="30"/>
      <x:c r="T19" s="41" t="str">
        <x:f>IF(A19="","",SUMIFS(Meetings!W$6:W$35,Meetings!B$6:B$35,B19,Meetings!C$6:C$35,A19,Meetings!S$6:S$35,"Conditional bonus"))</x:f>
      </x:c>
      <x:c r="U19" s="41" t="str">
        <x:f>IF(A19="","",SUMIFS(Meetings!X$6:X$35,Meetings!B$6:B$35,B19,Meetings!C$6:C$35,A19,Meetings!S$6:S$35,"Conditional bonus"))</x:f>
      </x:c>
      <x:c r="V19" s="41" t="str">
        <x:f>IF(A19="","",SUMIFS(Meetings!Y$6:Y$35,Meetings!B$6:B$35,B19,Meetings!C$6:C$35,A19,Meetings!S$6:S$35,"Conditional bonus"))</x:f>
      </x:c>
      <x:c r="W19" s="48" t="str">
        <x:f>IF(A19="","",IF(OR(AND(R19&lt;&gt;"",NOT(ISNUMBER(R19))),R19&lt;0,R19&gt;1,AND(R19&gt;0,OR(S19="",I19&lt;&gt;"Ready"))),"Review refund basis / evidence","Valid"))</x:f>
      </x:c>
      <x:c r="X19" s="41" t="str">
        <x:f>IF(A19="","",MAX(0,K19-T19))</x:f>
      </x:c>
    </x:row>
    <x:row r="20" ht="42" customHeight="1">
      <x:c r="A20" s="27"/>
      <x:c r="B20" s="27"/>
      <x:c r="C20" s="28"/>
      <x:c r="D20" s="28" t="str">
        <x:f>IF(ISNUMBER(C20),C20+60,"")</x:f>
      </x:c>
      <x:c r="E20" s="27"/>
      <x:c r="F20" s="28"/>
      <x:c r="G20" s="28" t="str">
        <x:f>IF(OR(F20="",COUNTIF(Referrals!A$6:A$35,F20)&lt;&gt;1),"",IF(INDEX(Referrals!H$6:H$35,MATCH(F20,Referrals!A$6:A$35,0))&gt;0,INDEX(Referrals!H$6:H$35,MATCH(F20,Referrals!A$6:A$35,0)),""))</x:f>
      </x:c>
      <x:c r="H20" s="28"/>
      <x:c r="I20" s="39" t="str">
        <x:f>IF(A20="","",IF(OR(B20="",NOT(ISNUMBER(C20)),E20="",COUNTIFS(A$6:A$35,A20,B$6:B$35,B20)&lt;&gt;1),"Review pilot record",IF(OR(F20="",G20="",H20=""),"Awaiting eligible cleared payment",IF(AND(OR(INDEX(Referrals!B$6:B$35,MATCH(F20,Referrals!A$6:A$35,0))=B20,AND(INDEX(Referrals!Q$6:Q$35,MATCH(F20,Referrals!A$6:A$35,0))=B20,INDEX(Referrals!R$6:R$35,MATCH(F20,Referrals!A$6:A$35,0))&lt;&gt;"")),INDEX(Referrals!D$6:D$35,MATCH(F20,Referrals!A$6:A$35,0))="Outbound opportunity",ISNUMBER(G20),ISNUMBER(INDEX(Referrals!G$6:G$35,MATCH(F20,Referrals!A$6:A$35,0))),INDEX(Referrals!G$6:G$35,MATCH(F20,Referrals!A$6:A$35,0))&gt;0,INDEX(Referrals!G$6:G$35,MATCH(F20,Referrals!A$6:A$35,0))&lt;=G20,ISNUMBER(INDEX(Referrals!F$6:F$35,MATCH(F20,Referrals!A$6:A$35,0))),INDEX(Referrals!F$6:F$35,MATCH(F20,Referrals!A$6:A$35,0))&gt;0,G20&gt;=INDEX(Referrals!F$6:F$35,MATCH(F20,Referrals!A$6:A$35,0)),G20&lt;=EDATE(INDEX(Referrals!F$6:F$35,MATCH(F20,Referrals!A$6:A$35,0)),12),OR(INDEX(Referrals!E$6:E$35,MATCH(F20,Referrals!A$6:A$35,0))="Accepted",INDEX(Referrals!E$6:E$35,MATCH(F20,Referrals!A$6:A$35,0))="Proposal",INDEX(Referrals!E$6:E$35,MATCH(F20,Referrals!A$6:A$35,0))="Won",INDEX(Referrals!E$6:E$35,MATCH(F20,Referrals!A$6:A$35,0))="Closed"),COUNTIFS(Meetings!B$6:B$35,B20,Meetings!C$6:C$35,A20,Meetings!D$6:D$35,F20,Meetings!T$6:T$35,"Qualifies",Meetings!S$6:S$35,"Conditional bonus",Meetings!G$6:G$35,"&lt;="&amp;G20)=1,COUNTIFS(Payments!B$6:B$35,F20,Payments!E$6:E$35,G20,Payments!F$6:F$35,"&gt;0",Payments!N$6:N$35,"&lt;&gt;")&gt;0),"Ready","Review trigger evidence"))))</x:f>
      </x:c>
      <x:c r="J20" s="40" t="str">
        <x:f>IF(A20="","",COUNTIFS(Meetings!B$6:B$35,B20,Meetings!C$6:C$35,A20,Meetings!L$6:L$35,100,Meetings!S$6:S$35,"Conditional bonus"))</x:f>
      </x:c>
      <x:c r="K20" s="41" t="str">
        <x:f>IF(A20="","",SUMIFS(Meetings!L$6:L$35,Meetings!B$6:B$35,B20,Meetings!C$6:C$35,A20,Meetings!S$6:S$35,"Conditional bonus"))</x:f>
      </x:c>
      <x:c r="L20" s="41" t="str">
        <x:f>IF(A20="","",SUMIFS(Meetings!M$6:M$35,Meetings!B$6:B$35,B20,Meetings!C$6:C$35,A20,Meetings!S$6:S$35,"Conditional bonus"))</x:f>
      </x:c>
      <x:c r="M20" s="41" t="str">
        <x:f>IF(A20="","",IF(AND(I20="Ready",W20="Valid",COUNTIFS(Meetings!B$6:B$35,B20,Meetings!C$6:C$35,A20,Meetings!S$6:S$35,"Conditional bonus",Meetings!V$6:V$35,"Review payment / refund reconciliation")=0),SUMIFS(Meetings!P$6:P$35,Meetings!B$6:B$35,B20,Meetings!C$6:C$35,A20,Meetings!S$6:S$35,"Conditional bonus"),0))</x:f>
      </x:c>
      <x:c r="N20" s="41" t="str">
        <x:f>IF(A20="","",IF(AND(I20&lt;&gt;"Ready",W20="Valid"),MAX(0,K20-T20-L20+U20),0))</x:f>
      </x:c>
      <x:c r="O20" s="39" t="str">
        <x:f>IF(A20="","",IF(OR(W20&lt;&gt;"Valid",COUNTIFS(Meetings!B$6:B$35,B20,Meetings!C$6:C$35,A20,Meetings!S$6:S$35,"Conditional bonus",Meetings!V$6:V$35,"Review payment / refund reconciliation")&gt;0),"Review payments / refund reconciliation",IF(V20&gt;0,"Recovery outstanding; reconcile separately",IF(I20="Ready",IF(M20=0,"Settled / no outstanding bonus","Payable; reconcile individual due dates"),I20))))</x:f>
      </x:c>
      <x:c r="P20" s="39" t="str">
        <x:f>IF(AND(I20="Ready",K20&gt;0),WORKDAY(MAX(G20,Q20),5),"")</x:f>
      </x:c>
      <x:c r="Q20" s="39" t="str">
        <x:f>IF(I20="Ready",SUMIFS(Meetings!I$6:I$35,Meetings!B$6:B$35,B20,Meetings!C$6:C$35,A20,Meetings!D$6:D$35,F20,Meetings!T$6:T$35,"Qualifies",Meetings!S$6:S$35,"Conditional bonus"),"")</x:f>
      </x:c>
      <x:c r="R20" s="49"/>
      <x:c r="S20" s="30"/>
      <x:c r="T20" s="41" t="str">
        <x:f>IF(A20="","",SUMIFS(Meetings!W$6:W$35,Meetings!B$6:B$35,B20,Meetings!C$6:C$35,A20,Meetings!S$6:S$35,"Conditional bonus"))</x:f>
      </x:c>
      <x:c r="U20" s="41" t="str">
        <x:f>IF(A20="","",SUMIFS(Meetings!X$6:X$35,Meetings!B$6:B$35,B20,Meetings!C$6:C$35,A20,Meetings!S$6:S$35,"Conditional bonus"))</x:f>
      </x:c>
      <x:c r="V20" s="41" t="str">
        <x:f>IF(A20="","",SUMIFS(Meetings!Y$6:Y$35,Meetings!B$6:B$35,B20,Meetings!C$6:C$35,A20,Meetings!S$6:S$35,"Conditional bonus"))</x:f>
      </x:c>
      <x:c r="W20" s="48" t="str">
        <x:f>IF(A20="","",IF(OR(AND(R20&lt;&gt;"",NOT(ISNUMBER(R20))),R20&lt;0,R20&gt;1,AND(R20&gt;0,OR(S20="",I20&lt;&gt;"Ready"))),"Review refund basis / evidence","Valid"))</x:f>
      </x:c>
      <x:c r="X20" s="41" t="str">
        <x:f>IF(A20="","",MAX(0,K20-T20))</x:f>
      </x:c>
    </x:row>
    <x:row r="21" ht="42" customHeight="1">
      <x:c r="A21" s="27"/>
      <x:c r="B21" s="27"/>
      <x:c r="C21" s="28"/>
      <x:c r="D21" s="28" t="str">
        <x:f>IF(ISNUMBER(C21),C21+60,"")</x:f>
      </x:c>
      <x:c r="E21" s="27"/>
      <x:c r="F21" s="28"/>
      <x:c r="G21" s="28" t="str">
        <x:f>IF(OR(F21="",COUNTIF(Referrals!A$6:A$35,F21)&lt;&gt;1),"",IF(INDEX(Referrals!H$6:H$35,MATCH(F21,Referrals!A$6:A$35,0))&gt;0,INDEX(Referrals!H$6:H$35,MATCH(F21,Referrals!A$6:A$35,0)),""))</x:f>
      </x:c>
      <x:c r="H21" s="28"/>
      <x:c r="I21" s="39" t="str">
        <x:f>IF(A21="","",IF(OR(B21="",NOT(ISNUMBER(C21)),E21="",COUNTIFS(A$6:A$35,A21,B$6:B$35,B21)&lt;&gt;1),"Review pilot record",IF(OR(F21="",G21="",H21=""),"Awaiting eligible cleared payment",IF(AND(OR(INDEX(Referrals!B$6:B$35,MATCH(F21,Referrals!A$6:A$35,0))=B21,AND(INDEX(Referrals!Q$6:Q$35,MATCH(F21,Referrals!A$6:A$35,0))=B21,INDEX(Referrals!R$6:R$35,MATCH(F21,Referrals!A$6:A$35,0))&lt;&gt;"")),INDEX(Referrals!D$6:D$35,MATCH(F21,Referrals!A$6:A$35,0))="Outbound opportunity",ISNUMBER(G21),ISNUMBER(INDEX(Referrals!G$6:G$35,MATCH(F21,Referrals!A$6:A$35,0))),INDEX(Referrals!G$6:G$35,MATCH(F21,Referrals!A$6:A$35,0))&gt;0,INDEX(Referrals!G$6:G$35,MATCH(F21,Referrals!A$6:A$35,0))&lt;=G21,ISNUMBER(INDEX(Referrals!F$6:F$35,MATCH(F21,Referrals!A$6:A$35,0))),INDEX(Referrals!F$6:F$35,MATCH(F21,Referrals!A$6:A$35,0))&gt;0,G21&gt;=INDEX(Referrals!F$6:F$35,MATCH(F21,Referrals!A$6:A$35,0)),G21&lt;=EDATE(INDEX(Referrals!F$6:F$35,MATCH(F21,Referrals!A$6:A$35,0)),12),OR(INDEX(Referrals!E$6:E$35,MATCH(F21,Referrals!A$6:A$35,0))="Accepted",INDEX(Referrals!E$6:E$35,MATCH(F21,Referrals!A$6:A$35,0))="Proposal",INDEX(Referrals!E$6:E$35,MATCH(F21,Referrals!A$6:A$35,0))="Won",INDEX(Referrals!E$6:E$35,MATCH(F21,Referrals!A$6:A$35,0))="Closed"),COUNTIFS(Meetings!B$6:B$35,B21,Meetings!C$6:C$35,A21,Meetings!D$6:D$35,F21,Meetings!T$6:T$35,"Qualifies",Meetings!S$6:S$35,"Conditional bonus",Meetings!G$6:G$35,"&lt;="&amp;G21)=1,COUNTIFS(Payments!B$6:B$35,F21,Payments!E$6:E$35,G21,Payments!F$6:F$35,"&gt;0",Payments!N$6:N$35,"&lt;&gt;")&gt;0),"Ready","Review trigger evidence"))))</x:f>
      </x:c>
      <x:c r="J21" s="40" t="str">
        <x:f>IF(A21="","",COUNTIFS(Meetings!B$6:B$35,B21,Meetings!C$6:C$35,A21,Meetings!L$6:L$35,100,Meetings!S$6:S$35,"Conditional bonus"))</x:f>
      </x:c>
      <x:c r="K21" s="41" t="str">
        <x:f>IF(A21="","",SUMIFS(Meetings!L$6:L$35,Meetings!B$6:B$35,B21,Meetings!C$6:C$35,A21,Meetings!S$6:S$35,"Conditional bonus"))</x:f>
      </x:c>
      <x:c r="L21" s="41" t="str">
        <x:f>IF(A21="","",SUMIFS(Meetings!M$6:M$35,Meetings!B$6:B$35,B21,Meetings!C$6:C$35,A21,Meetings!S$6:S$35,"Conditional bonus"))</x:f>
      </x:c>
      <x:c r="M21" s="41" t="str">
        <x:f>IF(A21="","",IF(AND(I21="Ready",W21="Valid",COUNTIFS(Meetings!B$6:B$35,B21,Meetings!C$6:C$35,A21,Meetings!S$6:S$35,"Conditional bonus",Meetings!V$6:V$35,"Review payment / refund reconciliation")=0),SUMIFS(Meetings!P$6:P$35,Meetings!B$6:B$35,B21,Meetings!C$6:C$35,A21,Meetings!S$6:S$35,"Conditional bonus"),0))</x:f>
      </x:c>
      <x:c r="N21" s="41" t="str">
        <x:f>IF(A21="","",IF(AND(I21&lt;&gt;"Ready",W21="Valid"),MAX(0,K21-T21-L21+U21),0))</x:f>
      </x:c>
      <x:c r="O21" s="39" t="str">
        <x:f>IF(A21="","",IF(OR(W21&lt;&gt;"Valid",COUNTIFS(Meetings!B$6:B$35,B21,Meetings!C$6:C$35,A21,Meetings!S$6:S$35,"Conditional bonus",Meetings!V$6:V$35,"Review payment / refund reconciliation")&gt;0),"Review payments / refund reconciliation",IF(V21&gt;0,"Recovery outstanding; reconcile separately",IF(I21="Ready",IF(M21=0,"Settled / no outstanding bonus","Payable; reconcile individual due dates"),I21))))</x:f>
      </x:c>
      <x:c r="P21" s="39" t="str">
        <x:f>IF(AND(I21="Ready",K21&gt;0),WORKDAY(MAX(G21,Q21),5),"")</x:f>
      </x:c>
      <x:c r="Q21" s="39" t="str">
        <x:f>IF(I21="Ready",SUMIFS(Meetings!I$6:I$35,Meetings!B$6:B$35,B21,Meetings!C$6:C$35,A21,Meetings!D$6:D$35,F21,Meetings!T$6:T$35,"Qualifies",Meetings!S$6:S$35,"Conditional bonus"),"")</x:f>
      </x:c>
      <x:c r="R21" s="49"/>
      <x:c r="S21" s="30"/>
      <x:c r="T21" s="41" t="str">
        <x:f>IF(A21="","",SUMIFS(Meetings!W$6:W$35,Meetings!B$6:B$35,B21,Meetings!C$6:C$35,A21,Meetings!S$6:S$35,"Conditional bonus"))</x:f>
      </x:c>
      <x:c r="U21" s="41" t="str">
        <x:f>IF(A21="","",SUMIFS(Meetings!X$6:X$35,Meetings!B$6:B$35,B21,Meetings!C$6:C$35,A21,Meetings!S$6:S$35,"Conditional bonus"))</x:f>
      </x:c>
      <x:c r="V21" s="41" t="str">
        <x:f>IF(A21="","",SUMIFS(Meetings!Y$6:Y$35,Meetings!B$6:B$35,B21,Meetings!C$6:C$35,A21,Meetings!S$6:S$35,"Conditional bonus"))</x:f>
      </x:c>
      <x:c r="W21" s="48" t="str">
        <x:f>IF(A21="","",IF(OR(AND(R21&lt;&gt;"",NOT(ISNUMBER(R21))),R21&lt;0,R21&gt;1,AND(R21&gt;0,OR(S21="",I21&lt;&gt;"Ready"))),"Review refund basis / evidence","Valid"))</x:f>
      </x:c>
      <x:c r="X21" s="41" t="str">
        <x:f>IF(A21="","",MAX(0,K21-T21))</x:f>
      </x:c>
    </x:row>
    <x:row r="22" ht="42" customHeight="1">
      <x:c r="A22" s="27"/>
      <x:c r="B22" s="27"/>
      <x:c r="C22" s="28"/>
      <x:c r="D22" s="28" t="str">
        <x:f>IF(ISNUMBER(C22),C22+60,"")</x:f>
      </x:c>
      <x:c r="E22" s="27"/>
      <x:c r="F22" s="28"/>
      <x:c r="G22" s="28" t="str">
        <x:f>IF(OR(F22="",COUNTIF(Referrals!A$6:A$35,F22)&lt;&gt;1),"",IF(INDEX(Referrals!H$6:H$35,MATCH(F22,Referrals!A$6:A$35,0))&gt;0,INDEX(Referrals!H$6:H$35,MATCH(F22,Referrals!A$6:A$35,0)),""))</x:f>
      </x:c>
      <x:c r="H22" s="28"/>
      <x:c r="I22" s="39" t="str">
        <x:f>IF(A22="","",IF(OR(B22="",NOT(ISNUMBER(C22)),E22="",COUNTIFS(A$6:A$35,A22,B$6:B$35,B22)&lt;&gt;1),"Review pilot record",IF(OR(F22="",G22="",H22=""),"Awaiting eligible cleared payment",IF(AND(OR(INDEX(Referrals!B$6:B$35,MATCH(F22,Referrals!A$6:A$35,0))=B22,AND(INDEX(Referrals!Q$6:Q$35,MATCH(F22,Referrals!A$6:A$35,0))=B22,INDEX(Referrals!R$6:R$35,MATCH(F22,Referrals!A$6:A$35,0))&lt;&gt;"")),INDEX(Referrals!D$6:D$35,MATCH(F22,Referrals!A$6:A$35,0))="Outbound opportunity",ISNUMBER(G22),ISNUMBER(INDEX(Referrals!G$6:G$35,MATCH(F22,Referrals!A$6:A$35,0))),INDEX(Referrals!G$6:G$35,MATCH(F22,Referrals!A$6:A$35,0))&gt;0,INDEX(Referrals!G$6:G$35,MATCH(F22,Referrals!A$6:A$35,0))&lt;=G22,ISNUMBER(INDEX(Referrals!F$6:F$35,MATCH(F22,Referrals!A$6:A$35,0))),INDEX(Referrals!F$6:F$35,MATCH(F22,Referrals!A$6:A$35,0))&gt;0,G22&gt;=INDEX(Referrals!F$6:F$35,MATCH(F22,Referrals!A$6:A$35,0)),G22&lt;=EDATE(INDEX(Referrals!F$6:F$35,MATCH(F22,Referrals!A$6:A$35,0)),12),OR(INDEX(Referrals!E$6:E$35,MATCH(F22,Referrals!A$6:A$35,0))="Accepted",INDEX(Referrals!E$6:E$35,MATCH(F22,Referrals!A$6:A$35,0))="Proposal",INDEX(Referrals!E$6:E$35,MATCH(F22,Referrals!A$6:A$35,0))="Won",INDEX(Referrals!E$6:E$35,MATCH(F22,Referrals!A$6:A$35,0))="Closed"),COUNTIFS(Meetings!B$6:B$35,B22,Meetings!C$6:C$35,A22,Meetings!D$6:D$35,F22,Meetings!T$6:T$35,"Qualifies",Meetings!S$6:S$35,"Conditional bonus",Meetings!G$6:G$35,"&lt;="&amp;G22)=1,COUNTIFS(Payments!B$6:B$35,F22,Payments!E$6:E$35,G22,Payments!F$6:F$35,"&gt;0",Payments!N$6:N$35,"&lt;&gt;")&gt;0),"Ready","Review trigger evidence"))))</x:f>
      </x:c>
      <x:c r="J22" s="40" t="str">
        <x:f>IF(A22="","",COUNTIFS(Meetings!B$6:B$35,B22,Meetings!C$6:C$35,A22,Meetings!L$6:L$35,100,Meetings!S$6:S$35,"Conditional bonus"))</x:f>
      </x:c>
      <x:c r="K22" s="41" t="str">
        <x:f>IF(A22="","",SUMIFS(Meetings!L$6:L$35,Meetings!B$6:B$35,B22,Meetings!C$6:C$35,A22,Meetings!S$6:S$35,"Conditional bonus"))</x:f>
      </x:c>
      <x:c r="L22" s="41" t="str">
        <x:f>IF(A22="","",SUMIFS(Meetings!M$6:M$35,Meetings!B$6:B$35,B22,Meetings!C$6:C$35,A22,Meetings!S$6:S$35,"Conditional bonus"))</x:f>
      </x:c>
      <x:c r="M22" s="41" t="str">
        <x:f>IF(A22="","",IF(AND(I22="Ready",W22="Valid",COUNTIFS(Meetings!B$6:B$35,B22,Meetings!C$6:C$35,A22,Meetings!S$6:S$35,"Conditional bonus",Meetings!V$6:V$35,"Review payment / refund reconciliation")=0),SUMIFS(Meetings!P$6:P$35,Meetings!B$6:B$35,B22,Meetings!C$6:C$35,A22,Meetings!S$6:S$35,"Conditional bonus"),0))</x:f>
      </x:c>
      <x:c r="N22" s="41" t="str">
        <x:f>IF(A22="","",IF(AND(I22&lt;&gt;"Ready",W22="Valid"),MAX(0,K22-T22-L22+U22),0))</x:f>
      </x:c>
      <x:c r="O22" s="39" t="str">
        <x:f>IF(A22="","",IF(OR(W22&lt;&gt;"Valid",COUNTIFS(Meetings!B$6:B$35,B22,Meetings!C$6:C$35,A22,Meetings!S$6:S$35,"Conditional bonus",Meetings!V$6:V$35,"Review payment / refund reconciliation")&gt;0),"Review payments / refund reconciliation",IF(V22&gt;0,"Recovery outstanding; reconcile separately",IF(I22="Ready",IF(M22=0,"Settled / no outstanding bonus","Payable; reconcile individual due dates"),I22))))</x:f>
      </x:c>
      <x:c r="P22" s="39" t="str">
        <x:f>IF(AND(I22="Ready",K22&gt;0),WORKDAY(MAX(G22,Q22),5),"")</x:f>
      </x:c>
      <x:c r="Q22" s="39" t="str">
        <x:f>IF(I22="Ready",SUMIFS(Meetings!I$6:I$35,Meetings!B$6:B$35,B22,Meetings!C$6:C$35,A22,Meetings!D$6:D$35,F22,Meetings!T$6:T$35,"Qualifies",Meetings!S$6:S$35,"Conditional bonus"),"")</x:f>
      </x:c>
      <x:c r="R22" s="49"/>
      <x:c r="S22" s="30"/>
      <x:c r="T22" s="41" t="str">
        <x:f>IF(A22="","",SUMIFS(Meetings!W$6:W$35,Meetings!B$6:B$35,B22,Meetings!C$6:C$35,A22,Meetings!S$6:S$35,"Conditional bonus"))</x:f>
      </x:c>
      <x:c r="U22" s="41" t="str">
        <x:f>IF(A22="","",SUMIFS(Meetings!X$6:X$35,Meetings!B$6:B$35,B22,Meetings!C$6:C$35,A22,Meetings!S$6:S$35,"Conditional bonus"))</x:f>
      </x:c>
      <x:c r="V22" s="41" t="str">
        <x:f>IF(A22="","",SUMIFS(Meetings!Y$6:Y$35,Meetings!B$6:B$35,B22,Meetings!C$6:C$35,A22,Meetings!S$6:S$35,"Conditional bonus"))</x:f>
      </x:c>
      <x:c r="W22" s="48" t="str">
        <x:f>IF(A22="","",IF(OR(AND(R22&lt;&gt;"",NOT(ISNUMBER(R22))),R22&lt;0,R22&gt;1,AND(R22&gt;0,OR(S22="",I22&lt;&gt;"Ready"))),"Review refund basis / evidence","Valid"))</x:f>
      </x:c>
      <x:c r="X22" s="41" t="str">
        <x:f>IF(A22="","",MAX(0,K22-T22))</x:f>
      </x:c>
    </x:row>
    <x:row r="23" ht="42" customHeight="1">
      <x:c r="A23" s="27"/>
      <x:c r="B23" s="27"/>
      <x:c r="C23" s="28"/>
      <x:c r="D23" s="28" t="str">
        <x:f>IF(ISNUMBER(C23),C23+60,"")</x:f>
      </x:c>
      <x:c r="E23" s="27"/>
      <x:c r="F23" s="28"/>
      <x:c r="G23" s="28" t="str">
        <x:f>IF(OR(F23="",COUNTIF(Referrals!A$6:A$35,F23)&lt;&gt;1),"",IF(INDEX(Referrals!H$6:H$35,MATCH(F23,Referrals!A$6:A$35,0))&gt;0,INDEX(Referrals!H$6:H$35,MATCH(F23,Referrals!A$6:A$35,0)),""))</x:f>
      </x:c>
      <x:c r="H23" s="28"/>
      <x:c r="I23" s="39" t="str">
        <x:f>IF(A23="","",IF(OR(B23="",NOT(ISNUMBER(C23)),E23="",COUNTIFS(A$6:A$35,A23,B$6:B$35,B23)&lt;&gt;1),"Review pilot record",IF(OR(F23="",G23="",H23=""),"Awaiting eligible cleared payment",IF(AND(OR(INDEX(Referrals!B$6:B$35,MATCH(F23,Referrals!A$6:A$35,0))=B23,AND(INDEX(Referrals!Q$6:Q$35,MATCH(F23,Referrals!A$6:A$35,0))=B23,INDEX(Referrals!R$6:R$35,MATCH(F23,Referrals!A$6:A$35,0))&lt;&gt;"")),INDEX(Referrals!D$6:D$35,MATCH(F23,Referrals!A$6:A$35,0))="Outbound opportunity",ISNUMBER(G23),ISNUMBER(INDEX(Referrals!G$6:G$35,MATCH(F23,Referrals!A$6:A$35,0))),INDEX(Referrals!G$6:G$35,MATCH(F23,Referrals!A$6:A$35,0))&gt;0,INDEX(Referrals!G$6:G$35,MATCH(F23,Referrals!A$6:A$35,0))&lt;=G23,ISNUMBER(INDEX(Referrals!F$6:F$35,MATCH(F23,Referrals!A$6:A$35,0))),INDEX(Referrals!F$6:F$35,MATCH(F23,Referrals!A$6:A$35,0))&gt;0,G23&gt;=INDEX(Referrals!F$6:F$35,MATCH(F23,Referrals!A$6:A$35,0)),G23&lt;=EDATE(INDEX(Referrals!F$6:F$35,MATCH(F23,Referrals!A$6:A$35,0)),12),OR(INDEX(Referrals!E$6:E$35,MATCH(F23,Referrals!A$6:A$35,0))="Accepted",INDEX(Referrals!E$6:E$35,MATCH(F23,Referrals!A$6:A$35,0))="Proposal",INDEX(Referrals!E$6:E$35,MATCH(F23,Referrals!A$6:A$35,0))="Won",INDEX(Referrals!E$6:E$35,MATCH(F23,Referrals!A$6:A$35,0))="Closed"),COUNTIFS(Meetings!B$6:B$35,B23,Meetings!C$6:C$35,A23,Meetings!D$6:D$35,F23,Meetings!T$6:T$35,"Qualifies",Meetings!S$6:S$35,"Conditional bonus",Meetings!G$6:G$35,"&lt;="&amp;G23)=1,COUNTIFS(Payments!B$6:B$35,F23,Payments!E$6:E$35,G23,Payments!F$6:F$35,"&gt;0",Payments!N$6:N$35,"&lt;&gt;")&gt;0),"Ready","Review trigger evidence"))))</x:f>
      </x:c>
      <x:c r="J23" s="40" t="str">
        <x:f>IF(A23="","",COUNTIFS(Meetings!B$6:B$35,B23,Meetings!C$6:C$35,A23,Meetings!L$6:L$35,100,Meetings!S$6:S$35,"Conditional bonus"))</x:f>
      </x:c>
      <x:c r="K23" s="41" t="str">
        <x:f>IF(A23="","",SUMIFS(Meetings!L$6:L$35,Meetings!B$6:B$35,B23,Meetings!C$6:C$35,A23,Meetings!S$6:S$35,"Conditional bonus"))</x:f>
      </x:c>
      <x:c r="L23" s="41" t="str">
        <x:f>IF(A23="","",SUMIFS(Meetings!M$6:M$35,Meetings!B$6:B$35,B23,Meetings!C$6:C$35,A23,Meetings!S$6:S$35,"Conditional bonus"))</x:f>
      </x:c>
      <x:c r="M23" s="41" t="str">
        <x:f>IF(A23="","",IF(AND(I23="Ready",W23="Valid",COUNTIFS(Meetings!B$6:B$35,B23,Meetings!C$6:C$35,A23,Meetings!S$6:S$35,"Conditional bonus",Meetings!V$6:V$35,"Review payment / refund reconciliation")=0),SUMIFS(Meetings!P$6:P$35,Meetings!B$6:B$35,B23,Meetings!C$6:C$35,A23,Meetings!S$6:S$35,"Conditional bonus"),0))</x:f>
      </x:c>
      <x:c r="N23" s="41" t="str">
        <x:f>IF(A23="","",IF(AND(I23&lt;&gt;"Ready",W23="Valid"),MAX(0,K23-T23-L23+U23),0))</x:f>
      </x:c>
      <x:c r="O23" s="39" t="str">
        <x:f>IF(A23="","",IF(OR(W23&lt;&gt;"Valid",COUNTIFS(Meetings!B$6:B$35,B23,Meetings!C$6:C$35,A23,Meetings!S$6:S$35,"Conditional bonus",Meetings!V$6:V$35,"Review payment / refund reconciliation")&gt;0),"Review payments / refund reconciliation",IF(V23&gt;0,"Recovery outstanding; reconcile separately",IF(I23="Ready",IF(M23=0,"Settled / no outstanding bonus","Payable; reconcile individual due dates"),I23))))</x:f>
      </x:c>
      <x:c r="P23" s="39" t="str">
        <x:f>IF(AND(I23="Ready",K23&gt;0),WORKDAY(MAX(G23,Q23),5),"")</x:f>
      </x:c>
      <x:c r="Q23" s="39" t="str">
        <x:f>IF(I23="Ready",SUMIFS(Meetings!I$6:I$35,Meetings!B$6:B$35,B23,Meetings!C$6:C$35,A23,Meetings!D$6:D$35,F23,Meetings!T$6:T$35,"Qualifies",Meetings!S$6:S$35,"Conditional bonus"),"")</x:f>
      </x:c>
      <x:c r="R23" s="49"/>
      <x:c r="S23" s="30"/>
      <x:c r="T23" s="41" t="str">
        <x:f>IF(A23="","",SUMIFS(Meetings!W$6:W$35,Meetings!B$6:B$35,B23,Meetings!C$6:C$35,A23,Meetings!S$6:S$35,"Conditional bonus"))</x:f>
      </x:c>
      <x:c r="U23" s="41" t="str">
        <x:f>IF(A23="","",SUMIFS(Meetings!X$6:X$35,Meetings!B$6:B$35,B23,Meetings!C$6:C$35,A23,Meetings!S$6:S$35,"Conditional bonus"))</x:f>
      </x:c>
      <x:c r="V23" s="41" t="str">
        <x:f>IF(A23="","",SUMIFS(Meetings!Y$6:Y$35,Meetings!B$6:B$35,B23,Meetings!C$6:C$35,A23,Meetings!S$6:S$35,"Conditional bonus"))</x:f>
      </x:c>
      <x:c r="W23" s="48" t="str">
        <x:f>IF(A23="","",IF(OR(AND(R23&lt;&gt;"",NOT(ISNUMBER(R23))),R23&lt;0,R23&gt;1,AND(R23&gt;0,OR(S23="",I23&lt;&gt;"Ready"))),"Review refund basis / evidence","Valid"))</x:f>
      </x:c>
      <x:c r="X23" s="41" t="str">
        <x:f>IF(A23="","",MAX(0,K23-T23))</x:f>
      </x:c>
    </x:row>
    <x:row r="24" ht="42" customHeight="1">
      <x:c r="A24" s="27"/>
      <x:c r="B24" s="27"/>
      <x:c r="C24" s="28"/>
      <x:c r="D24" s="28" t="str">
        <x:f>IF(ISNUMBER(C24),C24+60,"")</x:f>
      </x:c>
      <x:c r="E24" s="27"/>
      <x:c r="F24" s="28"/>
      <x:c r="G24" s="28" t="str">
        <x:f>IF(OR(F24="",COUNTIF(Referrals!A$6:A$35,F24)&lt;&gt;1),"",IF(INDEX(Referrals!H$6:H$35,MATCH(F24,Referrals!A$6:A$35,0))&gt;0,INDEX(Referrals!H$6:H$35,MATCH(F24,Referrals!A$6:A$35,0)),""))</x:f>
      </x:c>
      <x:c r="H24" s="28"/>
      <x:c r="I24" s="39" t="str">
        <x:f>IF(A24="","",IF(OR(B24="",NOT(ISNUMBER(C24)),E24="",COUNTIFS(A$6:A$35,A24,B$6:B$35,B24)&lt;&gt;1),"Review pilot record",IF(OR(F24="",G24="",H24=""),"Awaiting eligible cleared payment",IF(AND(OR(INDEX(Referrals!B$6:B$35,MATCH(F24,Referrals!A$6:A$35,0))=B24,AND(INDEX(Referrals!Q$6:Q$35,MATCH(F24,Referrals!A$6:A$35,0))=B24,INDEX(Referrals!R$6:R$35,MATCH(F24,Referrals!A$6:A$35,0))&lt;&gt;"")),INDEX(Referrals!D$6:D$35,MATCH(F24,Referrals!A$6:A$35,0))="Outbound opportunity",ISNUMBER(G24),ISNUMBER(INDEX(Referrals!G$6:G$35,MATCH(F24,Referrals!A$6:A$35,0))),INDEX(Referrals!G$6:G$35,MATCH(F24,Referrals!A$6:A$35,0))&gt;0,INDEX(Referrals!G$6:G$35,MATCH(F24,Referrals!A$6:A$35,0))&lt;=G24,ISNUMBER(INDEX(Referrals!F$6:F$35,MATCH(F24,Referrals!A$6:A$35,0))),INDEX(Referrals!F$6:F$35,MATCH(F24,Referrals!A$6:A$35,0))&gt;0,G24&gt;=INDEX(Referrals!F$6:F$35,MATCH(F24,Referrals!A$6:A$35,0)),G24&lt;=EDATE(INDEX(Referrals!F$6:F$35,MATCH(F24,Referrals!A$6:A$35,0)),12),OR(INDEX(Referrals!E$6:E$35,MATCH(F24,Referrals!A$6:A$35,0))="Accepted",INDEX(Referrals!E$6:E$35,MATCH(F24,Referrals!A$6:A$35,0))="Proposal",INDEX(Referrals!E$6:E$35,MATCH(F24,Referrals!A$6:A$35,0))="Won",INDEX(Referrals!E$6:E$35,MATCH(F24,Referrals!A$6:A$35,0))="Closed"),COUNTIFS(Meetings!B$6:B$35,B24,Meetings!C$6:C$35,A24,Meetings!D$6:D$35,F24,Meetings!T$6:T$35,"Qualifies",Meetings!S$6:S$35,"Conditional bonus",Meetings!G$6:G$35,"&lt;="&amp;G24)=1,COUNTIFS(Payments!B$6:B$35,F24,Payments!E$6:E$35,G24,Payments!F$6:F$35,"&gt;0",Payments!N$6:N$35,"&lt;&gt;")&gt;0),"Ready","Review trigger evidence"))))</x:f>
      </x:c>
      <x:c r="J24" s="40" t="str">
        <x:f>IF(A24="","",COUNTIFS(Meetings!B$6:B$35,B24,Meetings!C$6:C$35,A24,Meetings!L$6:L$35,100,Meetings!S$6:S$35,"Conditional bonus"))</x:f>
      </x:c>
      <x:c r="K24" s="41" t="str">
        <x:f>IF(A24="","",SUMIFS(Meetings!L$6:L$35,Meetings!B$6:B$35,B24,Meetings!C$6:C$35,A24,Meetings!S$6:S$35,"Conditional bonus"))</x:f>
      </x:c>
      <x:c r="L24" s="41" t="str">
        <x:f>IF(A24="","",SUMIFS(Meetings!M$6:M$35,Meetings!B$6:B$35,B24,Meetings!C$6:C$35,A24,Meetings!S$6:S$35,"Conditional bonus"))</x:f>
      </x:c>
      <x:c r="M24" s="41" t="str">
        <x:f>IF(A24="","",IF(AND(I24="Ready",W24="Valid",COUNTIFS(Meetings!B$6:B$35,B24,Meetings!C$6:C$35,A24,Meetings!S$6:S$35,"Conditional bonus",Meetings!V$6:V$35,"Review payment / refund reconciliation")=0),SUMIFS(Meetings!P$6:P$35,Meetings!B$6:B$35,B24,Meetings!C$6:C$35,A24,Meetings!S$6:S$35,"Conditional bonus"),0))</x:f>
      </x:c>
      <x:c r="N24" s="41" t="str">
        <x:f>IF(A24="","",IF(AND(I24&lt;&gt;"Ready",W24="Valid"),MAX(0,K24-T24-L24+U24),0))</x:f>
      </x:c>
      <x:c r="O24" s="39" t="str">
        <x:f>IF(A24="","",IF(OR(W24&lt;&gt;"Valid",COUNTIFS(Meetings!B$6:B$35,B24,Meetings!C$6:C$35,A24,Meetings!S$6:S$35,"Conditional bonus",Meetings!V$6:V$35,"Review payment / refund reconciliation")&gt;0),"Review payments / refund reconciliation",IF(V24&gt;0,"Recovery outstanding; reconcile separately",IF(I24="Ready",IF(M24=0,"Settled / no outstanding bonus","Payable; reconcile individual due dates"),I24))))</x:f>
      </x:c>
      <x:c r="P24" s="39" t="str">
        <x:f>IF(AND(I24="Ready",K24&gt;0),WORKDAY(MAX(G24,Q24),5),"")</x:f>
      </x:c>
      <x:c r="Q24" s="39" t="str">
        <x:f>IF(I24="Ready",SUMIFS(Meetings!I$6:I$35,Meetings!B$6:B$35,B24,Meetings!C$6:C$35,A24,Meetings!D$6:D$35,F24,Meetings!T$6:T$35,"Qualifies",Meetings!S$6:S$35,"Conditional bonus"),"")</x:f>
      </x:c>
      <x:c r="R24" s="49"/>
      <x:c r="S24" s="30"/>
      <x:c r="T24" s="41" t="str">
        <x:f>IF(A24="","",SUMIFS(Meetings!W$6:W$35,Meetings!B$6:B$35,B24,Meetings!C$6:C$35,A24,Meetings!S$6:S$35,"Conditional bonus"))</x:f>
      </x:c>
      <x:c r="U24" s="41" t="str">
        <x:f>IF(A24="","",SUMIFS(Meetings!X$6:X$35,Meetings!B$6:B$35,B24,Meetings!C$6:C$35,A24,Meetings!S$6:S$35,"Conditional bonus"))</x:f>
      </x:c>
      <x:c r="V24" s="41" t="str">
        <x:f>IF(A24="","",SUMIFS(Meetings!Y$6:Y$35,Meetings!B$6:B$35,B24,Meetings!C$6:C$35,A24,Meetings!S$6:S$35,"Conditional bonus"))</x:f>
      </x:c>
      <x:c r="W24" s="48" t="str">
        <x:f>IF(A24="","",IF(OR(AND(R24&lt;&gt;"",NOT(ISNUMBER(R24))),R24&lt;0,R24&gt;1,AND(R24&gt;0,OR(S24="",I24&lt;&gt;"Ready"))),"Review refund basis / evidence","Valid"))</x:f>
      </x:c>
      <x:c r="X24" s="41" t="str">
        <x:f>IF(A24="","",MAX(0,K24-T24))</x:f>
      </x:c>
    </x:row>
    <x:row r="25" ht="42" customHeight="1">
      <x:c r="A25" s="27"/>
      <x:c r="B25" s="27"/>
      <x:c r="C25" s="28"/>
      <x:c r="D25" s="28" t="str">
        <x:f>IF(ISNUMBER(C25),C25+60,"")</x:f>
      </x:c>
      <x:c r="E25" s="27"/>
      <x:c r="F25" s="28"/>
      <x:c r="G25" s="28" t="str">
        <x:f>IF(OR(F25="",COUNTIF(Referrals!A$6:A$35,F25)&lt;&gt;1),"",IF(INDEX(Referrals!H$6:H$35,MATCH(F25,Referrals!A$6:A$35,0))&gt;0,INDEX(Referrals!H$6:H$35,MATCH(F25,Referrals!A$6:A$35,0)),""))</x:f>
      </x:c>
      <x:c r="H25" s="28"/>
      <x:c r="I25" s="39" t="str">
        <x:f>IF(A25="","",IF(OR(B25="",NOT(ISNUMBER(C25)),E25="",COUNTIFS(A$6:A$35,A25,B$6:B$35,B25)&lt;&gt;1),"Review pilot record",IF(OR(F25="",G25="",H25=""),"Awaiting eligible cleared payment",IF(AND(OR(INDEX(Referrals!B$6:B$35,MATCH(F25,Referrals!A$6:A$35,0))=B25,AND(INDEX(Referrals!Q$6:Q$35,MATCH(F25,Referrals!A$6:A$35,0))=B25,INDEX(Referrals!R$6:R$35,MATCH(F25,Referrals!A$6:A$35,0))&lt;&gt;"")),INDEX(Referrals!D$6:D$35,MATCH(F25,Referrals!A$6:A$35,0))="Outbound opportunity",ISNUMBER(G25),ISNUMBER(INDEX(Referrals!G$6:G$35,MATCH(F25,Referrals!A$6:A$35,0))),INDEX(Referrals!G$6:G$35,MATCH(F25,Referrals!A$6:A$35,0))&gt;0,INDEX(Referrals!G$6:G$35,MATCH(F25,Referrals!A$6:A$35,0))&lt;=G25,ISNUMBER(INDEX(Referrals!F$6:F$35,MATCH(F25,Referrals!A$6:A$35,0))),INDEX(Referrals!F$6:F$35,MATCH(F25,Referrals!A$6:A$35,0))&gt;0,G25&gt;=INDEX(Referrals!F$6:F$35,MATCH(F25,Referrals!A$6:A$35,0)),G25&lt;=EDATE(INDEX(Referrals!F$6:F$35,MATCH(F25,Referrals!A$6:A$35,0)),12),OR(INDEX(Referrals!E$6:E$35,MATCH(F25,Referrals!A$6:A$35,0))="Accepted",INDEX(Referrals!E$6:E$35,MATCH(F25,Referrals!A$6:A$35,0))="Proposal",INDEX(Referrals!E$6:E$35,MATCH(F25,Referrals!A$6:A$35,0))="Won",INDEX(Referrals!E$6:E$35,MATCH(F25,Referrals!A$6:A$35,0))="Closed"),COUNTIFS(Meetings!B$6:B$35,B25,Meetings!C$6:C$35,A25,Meetings!D$6:D$35,F25,Meetings!T$6:T$35,"Qualifies",Meetings!S$6:S$35,"Conditional bonus",Meetings!G$6:G$35,"&lt;="&amp;G25)=1,COUNTIFS(Payments!B$6:B$35,F25,Payments!E$6:E$35,G25,Payments!F$6:F$35,"&gt;0",Payments!N$6:N$35,"&lt;&gt;")&gt;0),"Ready","Review trigger evidence"))))</x:f>
      </x:c>
      <x:c r="J25" s="40" t="str">
        <x:f>IF(A25="","",COUNTIFS(Meetings!B$6:B$35,B25,Meetings!C$6:C$35,A25,Meetings!L$6:L$35,100,Meetings!S$6:S$35,"Conditional bonus"))</x:f>
      </x:c>
      <x:c r="K25" s="41" t="str">
        <x:f>IF(A25="","",SUMIFS(Meetings!L$6:L$35,Meetings!B$6:B$35,B25,Meetings!C$6:C$35,A25,Meetings!S$6:S$35,"Conditional bonus"))</x:f>
      </x:c>
      <x:c r="L25" s="41" t="str">
        <x:f>IF(A25="","",SUMIFS(Meetings!M$6:M$35,Meetings!B$6:B$35,B25,Meetings!C$6:C$35,A25,Meetings!S$6:S$35,"Conditional bonus"))</x:f>
      </x:c>
      <x:c r="M25" s="41" t="str">
        <x:f>IF(A25="","",IF(AND(I25="Ready",W25="Valid",COUNTIFS(Meetings!B$6:B$35,B25,Meetings!C$6:C$35,A25,Meetings!S$6:S$35,"Conditional bonus",Meetings!V$6:V$35,"Review payment / refund reconciliation")=0),SUMIFS(Meetings!P$6:P$35,Meetings!B$6:B$35,B25,Meetings!C$6:C$35,A25,Meetings!S$6:S$35,"Conditional bonus"),0))</x:f>
      </x:c>
      <x:c r="N25" s="41" t="str">
        <x:f>IF(A25="","",IF(AND(I25&lt;&gt;"Ready",W25="Valid"),MAX(0,K25-T25-L25+U25),0))</x:f>
      </x:c>
      <x:c r="O25" s="39" t="str">
        <x:f>IF(A25="","",IF(OR(W25&lt;&gt;"Valid",COUNTIFS(Meetings!B$6:B$35,B25,Meetings!C$6:C$35,A25,Meetings!S$6:S$35,"Conditional bonus",Meetings!V$6:V$35,"Review payment / refund reconciliation")&gt;0),"Review payments / refund reconciliation",IF(V25&gt;0,"Recovery outstanding; reconcile separately",IF(I25="Ready",IF(M25=0,"Settled / no outstanding bonus","Payable; reconcile individual due dates"),I25))))</x:f>
      </x:c>
      <x:c r="P25" s="39" t="str">
        <x:f>IF(AND(I25="Ready",K25&gt;0),WORKDAY(MAX(G25,Q25),5),"")</x:f>
      </x:c>
      <x:c r="Q25" s="39" t="str">
        <x:f>IF(I25="Ready",SUMIFS(Meetings!I$6:I$35,Meetings!B$6:B$35,B25,Meetings!C$6:C$35,A25,Meetings!D$6:D$35,F25,Meetings!T$6:T$35,"Qualifies",Meetings!S$6:S$35,"Conditional bonus"),"")</x:f>
      </x:c>
      <x:c r="R25" s="49"/>
      <x:c r="S25" s="30"/>
      <x:c r="T25" s="41" t="str">
        <x:f>IF(A25="","",SUMIFS(Meetings!W$6:W$35,Meetings!B$6:B$35,B25,Meetings!C$6:C$35,A25,Meetings!S$6:S$35,"Conditional bonus"))</x:f>
      </x:c>
      <x:c r="U25" s="41" t="str">
        <x:f>IF(A25="","",SUMIFS(Meetings!X$6:X$35,Meetings!B$6:B$35,B25,Meetings!C$6:C$35,A25,Meetings!S$6:S$35,"Conditional bonus"))</x:f>
      </x:c>
      <x:c r="V25" s="41" t="str">
        <x:f>IF(A25="","",SUMIFS(Meetings!Y$6:Y$35,Meetings!B$6:B$35,B25,Meetings!C$6:C$35,A25,Meetings!S$6:S$35,"Conditional bonus"))</x:f>
      </x:c>
      <x:c r="W25" s="48" t="str">
        <x:f>IF(A25="","",IF(OR(AND(R25&lt;&gt;"",NOT(ISNUMBER(R25))),R25&lt;0,R25&gt;1,AND(R25&gt;0,OR(S25="",I25&lt;&gt;"Ready"))),"Review refund basis / evidence","Valid"))</x:f>
      </x:c>
      <x:c r="X25" s="41" t="str">
        <x:f>IF(A25="","",MAX(0,K25-T25))</x:f>
      </x:c>
    </x:row>
    <x:row r="26" ht="42" customHeight="1">
      <x:c r="A26" s="27"/>
      <x:c r="B26" s="27"/>
      <x:c r="C26" s="28"/>
      <x:c r="D26" s="28" t="str">
        <x:f>IF(ISNUMBER(C26),C26+60,"")</x:f>
      </x:c>
      <x:c r="E26" s="27"/>
      <x:c r="F26" s="28"/>
      <x:c r="G26" s="28" t="str">
        <x:f>IF(OR(F26="",COUNTIF(Referrals!A$6:A$35,F26)&lt;&gt;1),"",IF(INDEX(Referrals!H$6:H$35,MATCH(F26,Referrals!A$6:A$35,0))&gt;0,INDEX(Referrals!H$6:H$35,MATCH(F26,Referrals!A$6:A$35,0)),""))</x:f>
      </x:c>
      <x:c r="H26" s="28"/>
      <x:c r="I26" s="39" t="str">
        <x:f>IF(A26="","",IF(OR(B26="",NOT(ISNUMBER(C26)),E26="",COUNTIFS(A$6:A$35,A26,B$6:B$35,B26)&lt;&gt;1),"Review pilot record",IF(OR(F26="",G26="",H26=""),"Awaiting eligible cleared payment",IF(AND(OR(INDEX(Referrals!B$6:B$35,MATCH(F26,Referrals!A$6:A$35,0))=B26,AND(INDEX(Referrals!Q$6:Q$35,MATCH(F26,Referrals!A$6:A$35,0))=B26,INDEX(Referrals!R$6:R$35,MATCH(F26,Referrals!A$6:A$35,0))&lt;&gt;"")),INDEX(Referrals!D$6:D$35,MATCH(F26,Referrals!A$6:A$35,0))="Outbound opportunity",ISNUMBER(G26),ISNUMBER(INDEX(Referrals!G$6:G$35,MATCH(F26,Referrals!A$6:A$35,0))),INDEX(Referrals!G$6:G$35,MATCH(F26,Referrals!A$6:A$35,0))&gt;0,INDEX(Referrals!G$6:G$35,MATCH(F26,Referrals!A$6:A$35,0))&lt;=G26,ISNUMBER(INDEX(Referrals!F$6:F$35,MATCH(F26,Referrals!A$6:A$35,0))),INDEX(Referrals!F$6:F$35,MATCH(F26,Referrals!A$6:A$35,0))&gt;0,G26&gt;=INDEX(Referrals!F$6:F$35,MATCH(F26,Referrals!A$6:A$35,0)),G26&lt;=EDATE(INDEX(Referrals!F$6:F$35,MATCH(F26,Referrals!A$6:A$35,0)),12),OR(INDEX(Referrals!E$6:E$35,MATCH(F26,Referrals!A$6:A$35,0))="Accepted",INDEX(Referrals!E$6:E$35,MATCH(F26,Referrals!A$6:A$35,0))="Proposal",INDEX(Referrals!E$6:E$35,MATCH(F26,Referrals!A$6:A$35,0))="Won",INDEX(Referrals!E$6:E$35,MATCH(F26,Referrals!A$6:A$35,0))="Closed"),COUNTIFS(Meetings!B$6:B$35,B26,Meetings!C$6:C$35,A26,Meetings!D$6:D$35,F26,Meetings!T$6:T$35,"Qualifies",Meetings!S$6:S$35,"Conditional bonus",Meetings!G$6:G$35,"&lt;="&amp;G26)=1,COUNTIFS(Payments!B$6:B$35,F26,Payments!E$6:E$35,G26,Payments!F$6:F$35,"&gt;0",Payments!N$6:N$35,"&lt;&gt;")&gt;0),"Ready","Review trigger evidence"))))</x:f>
      </x:c>
      <x:c r="J26" s="40" t="str">
        <x:f>IF(A26="","",COUNTIFS(Meetings!B$6:B$35,B26,Meetings!C$6:C$35,A26,Meetings!L$6:L$35,100,Meetings!S$6:S$35,"Conditional bonus"))</x:f>
      </x:c>
      <x:c r="K26" s="41" t="str">
        <x:f>IF(A26="","",SUMIFS(Meetings!L$6:L$35,Meetings!B$6:B$35,B26,Meetings!C$6:C$35,A26,Meetings!S$6:S$35,"Conditional bonus"))</x:f>
      </x:c>
      <x:c r="L26" s="41" t="str">
        <x:f>IF(A26="","",SUMIFS(Meetings!M$6:M$35,Meetings!B$6:B$35,B26,Meetings!C$6:C$35,A26,Meetings!S$6:S$35,"Conditional bonus"))</x:f>
      </x:c>
      <x:c r="M26" s="41" t="str">
        <x:f>IF(A26="","",IF(AND(I26="Ready",W26="Valid",COUNTIFS(Meetings!B$6:B$35,B26,Meetings!C$6:C$35,A26,Meetings!S$6:S$35,"Conditional bonus",Meetings!V$6:V$35,"Review payment / refund reconciliation")=0),SUMIFS(Meetings!P$6:P$35,Meetings!B$6:B$35,B26,Meetings!C$6:C$35,A26,Meetings!S$6:S$35,"Conditional bonus"),0))</x:f>
      </x:c>
      <x:c r="N26" s="41" t="str">
        <x:f>IF(A26="","",IF(AND(I26&lt;&gt;"Ready",W26="Valid"),MAX(0,K26-T26-L26+U26),0))</x:f>
      </x:c>
      <x:c r="O26" s="39" t="str">
        <x:f>IF(A26="","",IF(OR(W26&lt;&gt;"Valid",COUNTIFS(Meetings!B$6:B$35,B26,Meetings!C$6:C$35,A26,Meetings!S$6:S$35,"Conditional bonus",Meetings!V$6:V$35,"Review payment / refund reconciliation")&gt;0),"Review payments / refund reconciliation",IF(V26&gt;0,"Recovery outstanding; reconcile separately",IF(I26="Ready",IF(M26=0,"Settled / no outstanding bonus","Payable; reconcile individual due dates"),I26))))</x:f>
      </x:c>
      <x:c r="P26" s="39" t="str">
        <x:f>IF(AND(I26="Ready",K26&gt;0),WORKDAY(MAX(G26,Q26),5),"")</x:f>
      </x:c>
      <x:c r="Q26" s="39" t="str">
        <x:f>IF(I26="Ready",SUMIFS(Meetings!I$6:I$35,Meetings!B$6:B$35,B26,Meetings!C$6:C$35,A26,Meetings!D$6:D$35,F26,Meetings!T$6:T$35,"Qualifies",Meetings!S$6:S$35,"Conditional bonus"),"")</x:f>
      </x:c>
      <x:c r="R26" s="49"/>
      <x:c r="S26" s="30"/>
      <x:c r="T26" s="41" t="str">
        <x:f>IF(A26="","",SUMIFS(Meetings!W$6:W$35,Meetings!B$6:B$35,B26,Meetings!C$6:C$35,A26,Meetings!S$6:S$35,"Conditional bonus"))</x:f>
      </x:c>
      <x:c r="U26" s="41" t="str">
        <x:f>IF(A26="","",SUMIFS(Meetings!X$6:X$35,Meetings!B$6:B$35,B26,Meetings!C$6:C$35,A26,Meetings!S$6:S$35,"Conditional bonus"))</x:f>
      </x:c>
      <x:c r="V26" s="41" t="str">
        <x:f>IF(A26="","",SUMIFS(Meetings!Y$6:Y$35,Meetings!B$6:B$35,B26,Meetings!C$6:C$35,A26,Meetings!S$6:S$35,"Conditional bonus"))</x:f>
      </x:c>
      <x:c r="W26" s="48" t="str">
        <x:f>IF(A26="","",IF(OR(AND(R26&lt;&gt;"",NOT(ISNUMBER(R26))),R26&lt;0,R26&gt;1,AND(R26&gt;0,OR(S26="",I26&lt;&gt;"Ready"))),"Review refund basis / evidence","Valid"))</x:f>
      </x:c>
      <x:c r="X26" s="41" t="str">
        <x:f>IF(A26="","",MAX(0,K26-T26))</x:f>
      </x:c>
    </x:row>
    <x:row r="27" ht="42" customHeight="1">
      <x:c r="A27" s="27"/>
      <x:c r="B27" s="27"/>
      <x:c r="C27" s="28"/>
      <x:c r="D27" s="28" t="str">
        <x:f>IF(ISNUMBER(C27),C27+60,"")</x:f>
      </x:c>
      <x:c r="E27" s="27"/>
      <x:c r="F27" s="28"/>
      <x:c r="G27" s="28" t="str">
        <x:f>IF(OR(F27="",COUNTIF(Referrals!A$6:A$35,F27)&lt;&gt;1),"",IF(INDEX(Referrals!H$6:H$35,MATCH(F27,Referrals!A$6:A$35,0))&gt;0,INDEX(Referrals!H$6:H$35,MATCH(F27,Referrals!A$6:A$35,0)),""))</x:f>
      </x:c>
      <x:c r="H27" s="28"/>
      <x:c r="I27" s="39" t="str">
        <x:f>IF(A27="","",IF(OR(B27="",NOT(ISNUMBER(C27)),E27="",COUNTIFS(A$6:A$35,A27,B$6:B$35,B27)&lt;&gt;1),"Review pilot record",IF(OR(F27="",G27="",H27=""),"Awaiting eligible cleared payment",IF(AND(OR(INDEX(Referrals!B$6:B$35,MATCH(F27,Referrals!A$6:A$35,0))=B27,AND(INDEX(Referrals!Q$6:Q$35,MATCH(F27,Referrals!A$6:A$35,0))=B27,INDEX(Referrals!R$6:R$35,MATCH(F27,Referrals!A$6:A$35,0))&lt;&gt;"")),INDEX(Referrals!D$6:D$35,MATCH(F27,Referrals!A$6:A$35,0))="Outbound opportunity",ISNUMBER(G27),ISNUMBER(INDEX(Referrals!G$6:G$35,MATCH(F27,Referrals!A$6:A$35,0))),INDEX(Referrals!G$6:G$35,MATCH(F27,Referrals!A$6:A$35,0))&gt;0,INDEX(Referrals!G$6:G$35,MATCH(F27,Referrals!A$6:A$35,0))&lt;=G27,ISNUMBER(INDEX(Referrals!F$6:F$35,MATCH(F27,Referrals!A$6:A$35,0))),INDEX(Referrals!F$6:F$35,MATCH(F27,Referrals!A$6:A$35,0))&gt;0,G27&gt;=INDEX(Referrals!F$6:F$35,MATCH(F27,Referrals!A$6:A$35,0)),G27&lt;=EDATE(INDEX(Referrals!F$6:F$35,MATCH(F27,Referrals!A$6:A$35,0)),12),OR(INDEX(Referrals!E$6:E$35,MATCH(F27,Referrals!A$6:A$35,0))="Accepted",INDEX(Referrals!E$6:E$35,MATCH(F27,Referrals!A$6:A$35,0))="Proposal",INDEX(Referrals!E$6:E$35,MATCH(F27,Referrals!A$6:A$35,0))="Won",INDEX(Referrals!E$6:E$35,MATCH(F27,Referrals!A$6:A$35,0))="Closed"),COUNTIFS(Meetings!B$6:B$35,B27,Meetings!C$6:C$35,A27,Meetings!D$6:D$35,F27,Meetings!T$6:T$35,"Qualifies",Meetings!S$6:S$35,"Conditional bonus",Meetings!G$6:G$35,"&lt;="&amp;G27)=1,COUNTIFS(Payments!B$6:B$35,F27,Payments!E$6:E$35,G27,Payments!F$6:F$35,"&gt;0",Payments!N$6:N$35,"&lt;&gt;")&gt;0),"Ready","Review trigger evidence"))))</x:f>
      </x:c>
      <x:c r="J27" s="40" t="str">
        <x:f>IF(A27="","",COUNTIFS(Meetings!B$6:B$35,B27,Meetings!C$6:C$35,A27,Meetings!L$6:L$35,100,Meetings!S$6:S$35,"Conditional bonus"))</x:f>
      </x:c>
      <x:c r="K27" s="41" t="str">
        <x:f>IF(A27="","",SUMIFS(Meetings!L$6:L$35,Meetings!B$6:B$35,B27,Meetings!C$6:C$35,A27,Meetings!S$6:S$35,"Conditional bonus"))</x:f>
      </x:c>
      <x:c r="L27" s="41" t="str">
        <x:f>IF(A27="","",SUMIFS(Meetings!M$6:M$35,Meetings!B$6:B$35,B27,Meetings!C$6:C$35,A27,Meetings!S$6:S$35,"Conditional bonus"))</x:f>
      </x:c>
      <x:c r="M27" s="41" t="str">
        <x:f>IF(A27="","",IF(AND(I27="Ready",W27="Valid",COUNTIFS(Meetings!B$6:B$35,B27,Meetings!C$6:C$35,A27,Meetings!S$6:S$35,"Conditional bonus",Meetings!V$6:V$35,"Review payment / refund reconciliation")=0),SUMIFS(Meetings!P$6:P$35,Meetings!B$6:B$35,B27,Meetings!C$6:C$35,A27,Meetings!S$6:S$35,"Conditional bonus"),0))</x:f>
      </x:c>
      <x:c r="N27" s="41" t="str">
        <x:f>IF(A27="","",IF(AND(I27&lt;&gt;"Ready",W27="Valid"),MAX(0,K27-T27-L27+U27),0))</x:f>
      </x:c>
      <x:c r="O27" s="39" t="str">
        <x:f>IF(A27="","",IF(OR(W27&lt;&gt;"Valid",COUNTIFS(Meetings!B$6:B$35,B27,Meetings!C$6:C$35,A27,Meetings!S$6:S$35,"Conditional bonus",Meetings!V$6:V$35,"Review payment / refund reconciliation")&gt;0),"Review payments / refund reconciliation",IF(V27&gt;0,"Recovery outstanding; reconcile separately",IF(I27="Ready",IF(M27=0,"Settled / no outstanding bonus","Payable; reconcile individual due dates"),I27))))</x:f>
      </x:c>
      <x:c r="P27" s="39" t="str">
        <x:f>IF(AND(I27="Ready",K27&gt;0),WORKDAY(MAX(G27,Q27),5),"")</x:f>
      </x:c>
      <x:c r="Q27" s="39" t="str">
        <x:f>IF(I27="Ready",SUMIFS(Meetings!I$6:I$35,Meetings!B$6:B$35,B27,Meetings!C$6:C$35,A27,Meetings!D$6:D$35,F27,Meetings!T$6:T$35,"Qualifies",Meetings!S$6:S$35,"Conditional bonus"),"")</x:f>
      </x:c>
      <x:c r="R27" s="49"/>
      <x:c r="S27" s="30"/>
      <x:c r="T27" s="41" t="str">
        <x:f>IF(A27="","",SUMIFS(Meetings!W$6:W$35,Meetings!B$6:B$35,B27,Meetings!C$6:C$35,A27,Meetings!S$6:S$35,"Conditional bonus"))</x:f>
      </x:c>
      <x:c r="U27" s="41" t="str">
        <x:f>IF(A27="","",SUMIFS(Meetings!X$6:X$35,Meetings!B$6:B$35,B27,Meetings!C$6:C$35,A27,Meetings!S$6:S$35,"Conditional bonus"))</x:f>
      </x:c>
      <x:c r="V27" s="41" t="str">
        <x:f>IF(A27="","",SUMIFS(Meetings!Y$6:Y$35,Meetings!B$6:B$35,B27,Meetings!C$6:C$35,A27,Meetings!S$6:S$35,"Conditional bonus"))</x:f>
      </x:c>
      <x:c r="W27" s="48" t="str">
        <x:f>IF(A27="","",IF(OR(AND(R27&lt;&gt;"",NOT(ISNUMBER(R27))),R27&lt;0,R27&gt;1,AND(R27&gt;0,OR(S27="",I27&lt;&gt;"Ready"))),"Review refund basis / evidence","Valid"))</x:f>
      </x:c>
      <x:c r="X27" s="41" t="str">
        <x:f>IF(A27="","",MAX(0,K27-T27))</x:f>
      </x:c>
    </x:row>
    <x:row r="28" ht="42" customHeight="1">
      <x:c r="A28" s="27"/>
      <x:c r="B28" s="27"/>
      <x:c r="C28" s="28"/>
      <x:c r="D28" s="28" t="str">
        <x:f>IF(ISNUMBER(C28),C28+60,"")</x:f>
      </x:c>
      <x:c r="E28" s="27"/>
      <x:c r="F28" s="28"/>
      <x:c r="G28" s="28" t="str">
        <x:f>IF(OR(F28="",COUNTIF(Referrals!A$6:A$35,F28)&lt;&gt;1),"",IF(INDEX(Referrals!H$6:H$35,MATCH(F28,Referrals!A$6:A$35,0))&gt;0,INDEX(Referrals!H$6:H$35,MATCH(F28,Referrals!A$6:A$35,0)),""))</x:f>
      </x:c>
      <x:c r="H28" s="28"/>
      <x:c r="I28" s="39" t="str">
        <x:f>IF(A28="","",IF(OR(B28="",NOT(ISNUMBER(C28)),E28="",COUNTIFS(A$6:A$35,A28,B$6:B$35,B28)&lt;&gt;1),"Review pilot record",IF(OR(F28="",G28="",H28=""),"Awaiting eligible cleared payment",IF(AND(OR(INDEX(Referrals!B$6:B$35,MATCH(F28,Referrals!A$6:A$35,0))=B28,AND(INDEX(Referrals!Q$6:Q$35,MATCH(F28,Referrals!A$6:A$35,0))=B28,INDEX(Referrals!R$6:R$35,MATCH(F28,Referrals!A$6:A$35,0))&lt;&gt;"")),INDEX(Referrals!D$6:D$35,MATCH(F28,Referrals!A$6:A$35,0))="Outbound opportunity",ISNUMBER(G28),ISNUMBER(INDEX(Referrals!G$6:G$35,MATCH(F28,Referrals!A$6:A$35,0))),INDEX(Referrals!G$6:G$35,MATCH(F28,Referrals!A$6:A$35,0))&gt;0,INDEX(Referrals!G$6:G$35,MATCH(F28,Referrals!A$6:A$35,0))&lt;=G28,ISNUMBER(INDEX(Referrals!F$6:F$35,MATCH(F28,Referrals!A$6:A$35,0))),INDEX(Referrals!F$6:F$35,MATCH(F28,Referrals!A$6:A$35,0))&gt;0,G28&gt;=INDEX(Referrals!F$6:F$35,MATCH(F28,Referrals!A$6:A$35,0)),G28&lt;=EDATE(INDEX(Referrals!F$6:F$35,MATCH(F28,Referrals!A$6:A$35,0)),12),OR(INDEX(Referrals!E$6:E$35,MATCH(F28,Referrals!A$6:A$35,0))="Accepted",INDEX(Referrals!E$6:E$35,MATCH(F28,Referrals!A$6:A$35,0))="Proposal",INDEX(Referrals!E$6:E$35,MATCH(F28,Referrals!A$6:A$35,0))="Won",INDEX(Referrals!E$6:E$35,MATCH(F28,Referrals!A$6:A$35,0))="Closed"),COUNTIFS(Meetings!B$6:B$35,B28,Meetings!C$6:C$35,A28,Meetings!D$6:D$35,F28,Meetings!T$6:T$35,"Qualifies",Meetings!S$6:S$35,"Conditional bonus",Meetings!G$6:G$35,"&lt;="&amp;G28)=1,COUNTIFS(Payments!B$6:B$35,F28,Payments!E$6:E$35,G28,Payments!F$6:F$35,"&gt;0",Payments!N$6:N$35,"&lt;&gt;")&gt;0),"Ready","Review trigger evidence"))))</x:f>
      </x:c>
      <x:c r="J28" s="40" t="str">
        <x:f>IF(A28="","",COUNTIFS(Meetings!B$6:B$35,B28,Meetings!C$6:C$35,A28,Meetings!L$6:L$35,100,Meetings!S$6:S$35,"Conditional bonus"))</x:f>
      </x:c>
      <x:c r="K28" s="41" t="str">
        <x:f>IF(A28="","",SUMIFS(Meetings!L$6:L$35,Meetings!B$6:B$35,B28,Meetings!C$6:C$35,A28,Meetings!S$6:S$35,"Conditional bonus"))</x:f>
      </x:c>
      <x:c r="L28" s="41" t="str">
        <x:f>IF(A28="","",SUMIFS(Meetings!M$6:M$35,Meetings!B$6:B$35,B28,Meetings!C$6:C$35,A28,Meetings!S$6:S$35,"Conditional bonus"))</x:f>
      </x:c>
      <x:c r="M28" s="41" t="str">
        <x:f>IF(A28="","",IF(AND(I28="Ready",W28="Valid",COUNTIFS(Meetings!B$6:B$35,B28,Meetings!C$6:C$35,A28,Meetings!S$6:S$35,"Conditional bonus",Meetings!V$6:V$35,"Review payment / refund reconciliation")=0),SUMIFS(Meetings!P$6:P$35,Meetings!B$6:B$35,B28,Meetings!C$6:C$35,A28,Meetings!S$6:S$35,"Conditional bonus"),0))</x:f>
      </x:c>
      <x:c r="N28" s="41" t="str">
        <x:f>IF(A28="","",IF(AND(I28&lt;&gt;"Ready",W28="Valid"),MAX(0,K28-T28-L28+U28),0))</x:f>
      </x:c>
      <x:c r="O28" s="39" t="str">
        <x:f>IF(A28="","",IF(OR(W28&lt;&gt;"Valid",COUNTIFS(Meetings!B$6:B$35,B28,Meetings!C$6:C$35,A28,Meetings!S$6:S$35,"Conditional bonus",Meetings!V$6:V$35,"Review payment / refund reconciliation")&gt;0),"Review payments / refund reconciliation",IF(V28&gt;0,"Recovery outstanding; reconcile separately",IF(I28="Ready",IF(M28=0,"Settled / no outstanding bonus","Payable; reconcile individual due dates"),I28))))</x:f>
      </x:c>
      <x:c r="P28" s="39" t="str">
        <x:f>IF(AND(I28="Ready",K28&gt;0),WORKDAY(MAX(G28,Q28),5),"")</x:f>
      </x:c>
      <x:c r="Q28" s="39" t="str">
        <x:f>IF(I28="Ready",SUMIFS(Meetings!I$6:I$35,Meetings!B$6:B$35,B28,Meetings!C$6:C$35,A28,Meetings!D$6:D$35,F28,Meetings!T$6:T$35,"Qualifies",Meetings!S$6:S$35,"Conditional bonus"),"")</x:f>
      </x:c>
      <x:c r="R28" s="49"/>
      <x:c r="S28" s="30"/>
      <x:c r="T28" s="41" t="str">
        <x:f>IF(A28="","",SUMIFS(Meetings!W$6:W$35,Meetings!B$6:B$35,B28,Meetings!C$6:C$35,A28,Meetings!S$6:S$35,"Conditional bonus"))</x:f>
      </x:c>
      <x:c r="U28" s="41" t="str">
        <x:f>IF(A28="","",SUMIFS(Meetings!X$6:X$35,Meetings!B$6:B$35,B28,Meetings!C$6:C$35,A28,Meetings!S$6:S$35,"Conditional bonus"))</x:f>
      </x:c>
      <x:c r="V28" s="41" t="str">
        <x:f>IF(A28="","",SUMIFS(Meetings!Y$6:Y$35,Meetings!B$6:B$35,B28,Meetings!C$6:C$35,A28,Meetings!S$6:S$35,"Conditional bonus"))</x:f>
      </x:c>
      <x:c r="W28" s="48" t="str">
        <x:f>IF(A28="","",IF(OR(AND(R28&lt;&gt;"",NOT(ISNUMBER(R28))),R28&lt;0,R28&gt;1,AND(R28&gt;0,OR(S28="",I28&lt;&gt;"Ready"))),"Review refund basis / evidence","Valid"))</x:f>
      </x:c>
      <x:c r="X28" s="41" t="str">
        <x:f>IF(A28="","",MAX(0,K28-T28))</x:f>
      </x:c>
    </x:row>
    <x:row r="29" ht="42" customHeight="1">
      <x:c r="A29" s="27"/>
      <x:c r="B29" s="27"/>
      <x:c r="C29" s="28"/>
      <x:c r="D29" s="28" t="str">
        <x:f>IF(ISNUMBER(C29),C29+60,"")</x:f>
      </x:c>
      <x:c r="E29" s="27"/>
      <x:c r="F29" s="28"/>
      <x:c r="G29" s="28" t="str">
        <x:f>IF(OR(F29="",COUNTIF(Referrals!A$6:A$35,F29)&lt;&gt;1),"",IF(INDEX(Referrals!H$6:H$35,MATCH(F29,Referrals!A$6:A$35,0))&gt;0,INDEX(Referrals!H$6:H$35,MATCH(F29,Referrals!A$6:A$35,0)),""))</x:f>
      </x:c>
      <x:c r="H29" s="28"/>
      <x:c r="I29" s="39" t="str">
        <x:f>IF(A29="","",IF(OR(B29="",NOT(ISNUMBER(C29)),E29="",COUNTIFS(A$6:A$35,A29,B$6:B$35,B29)&lt;&gt;1),"Review pilot record",IF(OR(F29="",G29="",H29=""),"Awaiting eligible cleared payment",IF(AND(OR(INDEX(Referrals!B$6:B$35,MATCH(F29,Referrals!A$6:A$35,0))=B29,AND(INDEX(Referrals!Q$6:Q$35,MATCH(F29,Referrals!A$6:A$35,0))=B29,INDEX(Referrals!R$6:R$35,MATCH(F29,Referrals!A$6:A$35,0))&lt;&gt;"")),INDEX(Referrals!D$6:D$35,MATCH(F29,Referrals!A$6:A$35,0))="Outbound opportunity",ISNUMBER(G29),ISNUMBER(INDEX(Referrals!G$6:G$35,MATCH(F29,Referrals!A$6:A$35,0))),INDEX(Referrals!G$6:G$35,MATCH(F29,Referrals!A$6:A$35,0))&gt;0,INDEX(Referrals!G$6:G$35,MATCH(F29,Referrals!A$6:A$35,0))&lt;=G29,ISNUMBER(INDEX(Referrals!F$6:F$35,MATCH(F29,Referrals!A$6:A$35,0))),INDEX(Referrals!F$6:F$35,MATCH(F29,Referrals!A$6:A$35,0))&gt;0,G29&gt;=INDEX(Referrals!F$6:F$35,MATCH(F29,Referrals!A$6:A$35,0)),G29&lt;=EDATE(INDEX(Referrals!F$6:F$35,MATCH(F29,Referrals!A$6:A$35,0)),12),OR(INDEX(Referrals!E$6:E$35,MATCH(F29,Referrals!A$6:A$35,0))="Accepted",INDEX(Referrals!E$6:E$35,MATCH(F29,Referrals!A$6:A$35,0))="Proposal",INDEX(Referrals!E$6:E$35,MATCH(F29,Referrals!A$6:A$35,0))="Won",INDEX(Referrals!E$6:E$35,MATCH(F29,Referrals!A$6:A$35,0))="Closed"),COUNTIFS(Meetings!B$6:B$35,B29,Meetings!C$6:C$35,A29,Meetings!D$6:D$35,F29,Meetings!T$6:T$35,"Qualifies",Meetings!S$6:S$35,"Conditional bonus",Meetings!G$6:G$35,"&lt;="&amp;G29)=1,COUNTIFS(Payments!B$6:B$35,F29,Payments!E$6:E$35,G29,Payments!F$6:F$35,"&gt;0",Payments!N$6:N$35,"&lt;&gt;")&gt;0),"Ready","Review trigger evidence"))))</x:f>
      </x:c>
      <x:c r="J29" s="40" t="str">
        <x:f>IF(A29="","",COUNTIFS(Meetings!B$6:B$35,B29,Meetings!C$6:C$35,A29,Meetings!L$6:L$35,100,Meetings!S$6:S$35,"Conditional bonus"))</x:f>
      </x:c>
      <x:c r="K29" s="41" t="str">
        <x:f>IF(A29="","",SUMIFS(Meetings!L$6:L$35,Meetings!B$6:B$35,B29,Meetings!C$6:C$35,A29,Meetings!S$6:S$35,"Conditional bonus"))</x:f>
      </x:c>
      <x:c r="L29" s="41" t="str">
        <x:f>IF(A29="","",SUMIFS(Meetings!M$6:M$35,Meetings!B$6:B$35,B29,Meetings!C$6:C$35,A29,Meetings!S$6:S$35,"Conditional bonus"))</x:f>
      </x:c>
      <x:c r="M29" s="41" t="str">
        <x:f>IF(A29="","",IF(AND(I29="Ready",W29="Valid",COUNTIFS(Meetings!B$6:B$35,B29,Meetings!C$6:C$35,A29,Meetings!S$6:S$35,"Conditional bonus",Meetings!V$6:V$35,"Review payment / refund reconciliation")=0),SUMIFS(Meetings!P$6:P$35,Meetings!B$6:B$35,B29,Meetings!C$6:C$35,A29,Meetings!S$6:S$35,"Conditional bonus"),0))</x:f>
      </x:c>
      <x:c r="N29" s="41" t="str">
        <x:f>IF(A29="","",IF(AND(I29&lt;&gt;"Ready",W29="Valid"),MAX(0,K29-T29-L29+U29),0))</x:f>
      </x:c>
      <x:c r="O29" s="39" t="str">
        <x:f>IF(A29="","",IF(OR(W29&lt;&gt;"Valid",COUNTIFS(Meetings!B$6:B$35,B29,Meetings!C$6:C$35,A29,Meetings!S$6:S$35,"Conditional bonus",Meetings!V$6:V$35,"Review payment / refund reconciliation")&gt;0),"Review payments / refund reconciliation",IF(V29&gt;0,"Recovery outstanding; reconcile separately",IF(I29="Ready",IF(M29=0,"Settled / no outstanding bonus","Payable; reconcile individual due dates"),I29))))</x:f>
      </x:c>
      <x:c r="P29" s="39" t="str">
        <x:f>IF(AND(I29="Ready",K29&gt;0),WORKDAY(MAX(G29,Q29),5),"")</x:f>
      </x:c>
      <x:c r="Q29" s="39" t="str">
        <x:f>IF(I29="Ready",SUMIFS(Meetings!I$6:I$35,Meetings!B$6:B$35,B29,Meetings!C$6:C$35,A29,Meetings!D$6:D$35,F29,Meetings!T$6:T$35,"Qualifies",Meetings!S$6:S$35,"Conditional bonus"),"")</x:f>
      </x:c>
      <x:c r="R29" s="49"/>
      <x:c r="S29" s="30"/>
      <x:c r="T29" s="41" t="str">
        <x:f>IF(A29="","",SUMIFS(Meetings!W$6:W$35,Meetings!B$6:B$35,B29,Meetings!C$6:C$35,A29,Meetings!S$6:S$35,"Conditional bonus"))</x:f>
      </x:c>
      <x:c r="U29" s="41" t="str">
        <x:f>IF(A29="","",SUMIFS(Meetings!X$6:X$35,Meetings!B$6:B$35,B29,Meetings!C$6:C$35,A29,Meetings!S$6:S$35,"Conditional bonus"))</x:f>
      </x:c>
      <x:c r="V29" s="41" t="str">
        <x:f>IF(A29="","",SUMIFS(Meetings!Y$6:Y$35,Meetings!B$6:B$35,B29,Meetings!C$6:C$35,A29,Meetings!S$6:S$35,"Conditional bonus"))</x:f>
      </x:c>
      <x:c r="W29" s="48" t="str">
        <x:f>IF(A29="","",IF(OR(AND(R29&lt;&gt;"",NOT(ISNUMBER(R29))),R29&lt;0,R29&gt;1,AND(R29&gt;0,OR(S29="",I29&lt;&gt;"Ready"))),"Review refund basis / evidence","Valid"))</x:f>
      </x:c>
      <x:c r="X29" s="41" t="str">
        <x:f>IF(A29="","",MAX(0,K29-T29))</x:f>
      </x:c>
    </x:row>
    <x:row r="30" ht="42" customHeight="1">
      <x:c r="A30" s="27"/>
      <x:c r="B30" s="27"/>
      <x:c r="C30" s="28"/>
      <x:c r="D30" s="28" t="str">
        <x:f>IF(ISNUMBER(C30),C30+60,"")</x:f>
      </x:c>
      <x:c r="E30" s="27"/>
      <x:c r="F30" s="28"/>
      <x:c r="G30" s="28" t="str">
        <x:f>IF(OR(F30="",COUNTIF(Referrals!A$6:A$35,F30)&lt;&gt;1),"",IF(INDEX(Referrals!H$6:H$35,MATCH(F30,Referrals!A$6:A$35,0))&gt;0,INDEX(Referrals!H$6:H$35,MATCH(F30,Referrals!A$6:A$35,0)),""))</x:f>
      </x:c>
      <x:c r="H30" s="28"/>
      <x:c r="I30" s="39" t="str">
        <x:f>IF(A30="","",IF(OR(B30="",NOT(ISNUMBER(C30)),E30="",COUNTIFS(A$6:A$35,A30,B$6:B$35,B30)&lt;&gt;1),"Review pilot record",IF(OR(F30="",G30="",H30=""),"Awaiting eligible cleared payment",IF(AND(OR(INDEX(Referrals!B$6:B$35,MATCH(F30,Referrals!A$6:A$35,0))=B30,AND(INDEX(Referrals!Q$6:Q$35,MATCH(F30,Referrals!A$6:A$35,0))=B30,INDEX(Referrals!R$6:R$35,MATCH(F30,Referrals!A$6:A$35,0))&lt;&gt;"")),INDEX(Referrals!D$6:D$35,MATCH(F30,Referrals!A$6:A$35,0))="Outbound opportunity",ISNUMBER(G30),ISNUMBER(INDEX(Referrals!G$6:G$35,MATCH(F30,Referrals!A$6:A$35,0))),INDEX(Referrals!G$6:G$35,MATCH(F30,Referrals!A$6:A$35,0))&gt;0,INDEX(Referrals!G$6:G$35,MATCH(F30,Referrals!A$6:A$35,0))&lt;=G30,ISNUMBER(INDEX(Referrals!F$6:F$35,MATCH(F30,Referrals!A$6:A$35,0))),INDEX(Referrals!F$6:F$35,MATCH(F30,Referrals!A$6:A$35,0))&gt;0,G30&gt;=INDEX(Referrals!F$6:F$35,MATCH(F30,Referrals!A$6:A$35,0)),G30&lt;=EDATE(INDEX(Referrals!F$6:F$35,MATCH(F30,Referrals!A$6:A$35,0)),12),OR(INDEX(Referrals!E$6:E$35,MATCH(F30,Referrals!A$6:A$35,0))="Accepted",INDEX(Referrals!E$6:E$35,MATCH(F30,Referrals!A$6:A$35,0))="Proposal",INDEX(Referrals!E$6:E$35,MATCH(F30,Referrals!A$6:A$35,0))="Won",INDEX(Referrals!E$6:E$35,MATCH(F30,Referrals!A$6:A$35,0))="Closed"),COUNTIFS(Meetings!B$6:B$35,B30,Meetings!C$6:C$35,A30,Meetings!D$6:D$35,F30,Meetings!T$6:T$35,"Qualifies",Meetings!S$6:S$35,"Conditional bonus",Meetings!G$6:G$35,"&lt;="&amp;G30)=1,COUNTIFS(Payments!B$6:B$35,F30,Payments!E$6:E$35,G30,Payments!F$6:F$35,"&gt;0",Payments!N$6:N$35,"&lt;&gt;")&gt;0),"Ready","Review trigger evidence"))))</x:f>
      </x:c>
      <x:c r="J30" s="40" t="str">
        <x:f>IF(A30="","",COUNTIFS(Meetings!B$6:B$35,B30,Meetings!C$6:C$35,A30,Meetings!L$6:L$35,100,Meetings!S$6:S$35,"Conditional bonus"))</x:f>
      </x:c>
      <x:c r="K30" s="41" t="str">
        <x:f>IF(A30="","",SUMIFS(Meetings!L$6:L$35,Meetings!B$6:B$35,B30,Meetings!C$6:C$35,A30,Meetings!S$6:S$35,"Conditional bonus"))</x:f>
      </x:c>
      <x:c r="L30" s="41" t="str">
        <x:f>IF(A30="","",SUMIFS(Meetings!M$6:M$35,Meetings!B$6:B$35,B30,Meetings!C$6:C$35,A30,Meetings!S$6:S$35,"Conditional bonus"))</x:f>
      </x:c>
      <x:c r="M30" s="41" t="str">
        <x:f>IF(A30="","",IF(AND(I30="Ready",W30="Valid",COUNTIFS(Meetings!B$6:B$35,B30,Meetings!C$6:C$35,A30,Meetings!S$6:S$35,"Conditional bonus",Meetings!V$6:V$35,"Review payment / refund reconciliation")=0),SUMIFS(Meetings!P$6:P$35,Meetings!B$6:B$35,B30,Meetings!C$6:C$35,A30,Meetings!S$6:S$35,"Conditional bonus"),0))</x:f>
      </x:c>
      <x:c r="N30" s="41" t="str">
        <x:f>IF(A30="","",IF(AND(I30&lt;&gt;"Ready",W30="Valid"),MAX(0,K30-T30-L30+U30),0))</x:f>
      </x:c>
      <x:c r="O30" s="39" t="str">
        <x:f>IF(A30="","",IF(OR(W30&lt;&gt;"Valid",COUNTIFS(Meetings!B$6:B$35,B30,Meetings!C$6:C$35,A30,Meetings!S$6:S$35,"Conditional bonus",Meetings!V$6:V$35,"Review payment / refund reconciliation")&gt;0),"Review payments / refund reconciliation",IF(V30&gt;0,"Recovery outstanding; reconcile separately",IF(I30="Ready",IF(M30=0,"Settled / no outstanding bonus","Payable; reconcile individual due dates"),I30))))</x:f>
      </x:c>
      <x:c r="P30" s="39" t="str">
        <x:f>IF(AND(I30="Ready",K30&gt;0),WORKDAY(MAX(G30,Q30),5),"")</x:f>
      </x:c>
      <x:c r="Q30" s="39" t="str">
        <x:f>IF(I30="Ready",SUMIFS(Meetings!I$6:I$35,Meetings!B$6:B$35,B30,Meetings!C$6:C$35,A30,Meetings!D$6:D$35,F30,Meetings!T$6:T$35,"Qualifies",Meetings!S$6:S$35,"Conditional bonus"),"")</x:f>
      </x:c>
      <x:c r="R30" s="49"/>
      <x:c r="S30" s="30"/>
      <x:c r="T30" s="41" t="str">
        <x:f>IF(A30="","",SUMIFS(Meetings!W$6:W$35,Meetings!B$6:B$35,B30,Meetings!C$6:C$35,A30,Meetings!S$6:S$35,"Conditional bonus"))</x:f>
      </x:c>
      <x:c r="U30" s="41" t="str">
        <x:f>IF(A30="","",SUMIFS(Meetings!X$6:X$35,Meetings!B$6:B$35,B30,Meetings!C$6:C$35,A30,Meetings!S$6:S$35,"Conditional bonus"))</x:f>
      </x:c>
      <x:c r="V30" s="41" t="str">
        <x:f>IF(A30="","",SUMIFS(Meetings!Y$6:Y$35,Meetings!B$6:B$35,B30,Meetings!C$6:C$35,A30,Meetings!S$6:S$35,"Conditional bonus"))</x:f>
      </x:c>
      <x:c r="W30" s="48" t="str">
        <x:f>IF(A30="","",IF(OR(AND(R30&lt;&gt;"",NOT(ISNUMBER(R30))),R30&lt;0,R30&gt;1,AND(R30&gt;0,OR(S30="",I30&lt;&gt;"Ready"))),"Review refund basis / evidence","Valid"))</x:f>
      </x:c>
      <x:c r="X30" s="41" t="str">
        <x:f>IF(A30="","",MAX(0,K30-T30))</x:f>
      </x:c>
    </x:row>
    <x:row r="31" ht="42" customHeight="1">
      <x:c r="A31" s="27"/>
      <x:c r="B31" s="27"/>
      <x:c r="C31" s="28"/>
      <x:c r="D31" s="28" t="str">
        <x:f>IF(ISNUMBER(C31),C31+60,"")</x:f>
      </x:c>
      <x:c r="E31" s="27"/>
      <x:c r="F31" s="28"/>
      <x:c r="G31" s="28" t="str">
        <x:f>IF(OR(F31="",COUNTIF(Referrals!A$6:A$35,F31)&lt;&gt;1),"",IF(INDEX(Referrals!H$6:H$35,MATCH(F31,Referrals!A$6:A$35,0))&gt;0,INDEX(Referrals!H$6:H$35,MATCH(F31,Referrals!A$6:A$35,0)),""))</x:f>
      </x:c>
      <x:c r="H31" s="28"/>
      <x:c r="I31" s="39" t="str">
        <x:f>IF(A31="","",IF(OR(B31="",NOT(ISNUMBER(C31)),E31="",COUNTIFS(A$6:A$35,A31,B$6:B$35,B31)&lt;&gt;1),"Review pilot record",IF(OR(F31="",G31="",H31=""),"Awaiting eligible cleared payment",IF(AND(OR(INDEX(Referrals!B$6:B$35,MATCH(F31,Referrals!A$6:A$35,0))=B31,AND(INDEX(Referrals!Q$6:Q$35,MATCH(F31,Referrals!A$6:A$35,0))=B31,INDEX(Referrals!R$6:R$35,MATCH(F31,Referrals!A$6:A$35,0))&lt;&gt;"")),INDEX(Referrals!D$6:D$35,MATCH(F31,Referrals!A$6:A$35,0))="Outbound opportunity",ISNUMBER(G31),ISNUMBER(INDEX(Referrals!G$6:G$35,MATCH(F31,Referrals!A$6:A$35,0))),INDEX(Referrals!G$6:G$35,MATCH(F31,Referrals!A$6:A$35,0))&gt;0,INDEX(Referrals!G$6:G$35,MATCH(F31,Referrals!A$6:A$35,0))&lt;=G31,ISNUMBER(INDEX(Referrals!F$6:F$35,MATCH(F31,Referrals!A$6:A$35,0))),INDEX(Referrals!F$6:F$35,MATCH(F31,Referrals!A$6:A$35,0))&gt;0,G31&gt;=INDEX(Referrals!F$6:F$35,MATCH(F31,Referrals!A$6:A$35,0)),G31&lt;=EDATE(INDEX(Referrals!F$6:F$35,MATCH(F31,Referrals!A$6:A$35,0)),12),OR(INDEX(Referrals!E$6:E$35,MATCH(F31,Referrals!A$6:A$35,0))="Accepted",INDEX(Referrals!E$6:E$35,MATCH(F31,Referrals!A$6:A$35,0))="Proposal",INDEX(Referrals!E$6:E$35,MATCH(F31,Referrals!A$6:A$35,0))="Won",INDEX(Referrals!E$6:E$35,MATCH(F31,Referrals!A$6:A$35,0))="Closed"),COUNTIFS(Meetings!B$6:B$35,B31,Meetings!C$6:C$35,A31,Meetings!D$6:D$35,F31,Meetings!T$6:T$35,"Qualifies",Meetings!S$6:S$35,"Conditional bonus",Meetings!G$6:G$35,"&lt;="&amp;G31)=1,COUNTIFS(Payments!B$6:B$35,F31,Payments!E$6:E$35,G31,Payments!F$6:F$35,"&gt;0",Payments!N$6:N$35,"&lt;&gt;")&gt;0),"Ready","Review trigger evidence"))))</x:f>
      </x:c>
      <x:c r="J31" s="40" t="str">
        <x:f>IF(A31="","",COUNTIFS(Meetings!B$6:B$35,B31,Meetings!C$6:C$35,A31,Meetings!L$6:L$35,100,Meetings!S$6:S$35,"Conditional bonus"))</x:f>
      </x:c>
      <x:c r="K31" s="41" t="str">
        <x:f>IF(A31="","",SUMIFS(Meetings!L$6:L$35,Meetings!B$6:B$35,B31,Meetings!C$6:C$35,A31,Meetings!S$6:S$35,"Conditional bonus"))</x:f>
      </x:c>
      <x:c r="L31" s="41" t="str">
        <x:f>IF(A31="","",SUMIFS(Meetings!M$6:M$35,Meetings!B$6:B$35,B31,Meetings!C$6:C$35,A31,Meetings!S$6:S$35,"Conditional bonus"))</x:f>
      </x:c>
      <x:c r="M31" s="41" t="str">
        <x:f>IF(A31="","",IF(AND(I31="Ready",W31="Valid",COUNTIFS(Meetings!B$6:B$35,B31,Meetings!C$6:C$35,A31,Meetings!S$6:S$35,"Conditional bonus",Meetings!V$6:V$35,"Review payment / refund reconciliation")=0),SUMIFS(Meetings!P$6:P$35,Meetings!B$6:B$35,B31,Meetings!C$6:C$35,A31,Meetings!S$6:S$35,"Conditional bonus"),0))</x:f>
      </x:c>
      <x:c r="N31" s="41" t="str">
        <x:f>IF(A31="","",IF(AND(I31&lt;&gt;"Ready",W31="Valid"),MAX(0,K31-T31-L31+U31),0))</x:f>
      </x:c>
      <x:c r="O31" s="39" t="str">
        <x:f>IF(A31="","",IF(OR(W31&lt;&gt;"Valid",COUNTIFS(Meetings!B$6:B$35,B31,Meetings!C$6:C$35,A31,Meetings!S$6:S$35,"Conditional bonus",Meetings!V$6:V$35,"Review payment / refund reconciliation")&gt;0),"Review payments / refund reconciliation",IF(V31&gt;0,"Recovery outstanding; reconcile separately",IF(I31="Ready",IF(M31=0,"Settled / no outstanding bonus","Payable; reconcile individual due dates"),I31))))</x:f>
      </x:c>
      <x:c r="P31" s="39" t="str">
        <x:f>IF(AND(I31="Ready",K31&gt;0),WORKDAY(MAX(G31,Q31),5),"")</x:f>
      </x:c>
      <x:c r="Q31" s="39" t="str">
        <x:f>IF(I31="Ready",SUMIFS(Meetings!I$6:I$35,Meetings!B$6:B$35,B31,Meetings!C$6:C$35,A31,Meetings!D$6:D$35,F31,Meetings!T$6:T$35,"Qualifies",Meetings!S$6:S$35,"Conditional bonus"),"")</x:f>
      </x:c>
      <x:c r="R31" s="49"/>
      <x:c r="S31" s="30"/>
      <x:c r="T31" s="41" t="str">
        <x:f>IF(A31="","",SUMIFS(Meetings!W$6:W$35,Meetings!B$6:B$35,B31,Meetings!C$6:C$35,A31,Meetings!S$6:S$35,"Conditional bonus"))</x:f>
      </x:c>
      <x:c r="U31" s="41" t="str">
        <x:f>IF(A31="","",SUMIFS(Meetings!X$6:X$35,Meetings!B$6:B$35,B31,Meetings!C$6:C$35,A31,Meetings!S$6:S$35,"Conditional bonus"))</x:f>
      </x:c>
      <x:c r="V31" s="41" t="str">
        <x:f>IF(A31="","",SUMIFS(Meetings!Y$6:Y$35,Meetings!B$6:B$35,B31,Meetings!C$6:C$35,A31,Meetings!S$6:S$35,"Conditional bonus"))</x:f>
      </x:c>
      <x:c r="W31" s="48" t="str">
        <x:f>IF(A31="","",IF(OR(AND(R31&lt;&gt;"",NOT(ISNUMBER(R31))),R31&lt;0,R31&gt;1,AND(R31&gt;0,OR(S31="",I31&lt;&gt;"Ready"))),"Review refund basis / evidence","Valid"))</x:f>
      </x:c>
      <x:c r="X31" s="41" t="str">
        <x:f>IF(A31="","",MAX(0,K31-T31))</x:f>
      </x:c>
    </x:row>
    <x:row r="32" ht="42" customHeight="1">
      <x:c r="A32" s="27"/>
      <x:c r="B32" s="27"/>
      <x:c r="C32" s="28"/>
      <x:c r="D32" s="28" t="str">
        <x:f>IF(ISNUMBER(C32),C32+60,"")</x:f>
      </x:c>
      <x:c r="E32" s="27"/>
      <x:c r="F32" s="28"/>
      <x:c r="G32" s="28" t="str">
        <x:f>IF(OR(F32="",COUNTIF(Referrals!A$6:A$35,F32)&lt;&gt;1),"",IF(INDEX(Referrals!H$6:H$35,MATCH(F32,Referrals!A$6:A$35,0))&gt;0,INDEX(Referrals!H$6:H$35,MATCH(F32,Referrals!A$6:A$35,0)),""))</x:f>
      </x:c>
      <x:c r="H32" s="28"/>
      <x:c r="I32" s="39" t="str">
        <x:f>IF(A32="","",IF(OR(B32="",NOT(ISNUMBER(C32)),E32="",COUNTIFS(A$6:A$35,A32,B$6:B$35,B32)&lt;&gt;1),"Review pilot record",IF(OR(F32="",G32="",H32=""),"Awaiting eligible cleared payment",IF(AND(OR(INDEX(Referrals!B$6:B$35,MATCH(F32,Referrals!A$6:A$35,0))=B32,AND(INDEX(Referrals!Q$6:Q$35,MATCH(F32,Referrals!A$6:A$35,0))=B32,INDEX(Referrals!R$6:R$35,MATCH(F32,Referrals!A$6:A$35,0))&lt;&gt;"")),INDEX(Referrals!D$6:D$35,MATCH(F32,Referrals!A$6:A$35,0))="Outbound opportunity",ISNUMBER(G32),ISNUMBER(INDEX(Referrals!G$6:G$35,MATCH(F32,Referrals!A$6:A$35,0))),INDEX(Referrals!G$6:G$35,MATCH(F32,Referrals!A$6:A$35,0))&gt;0,INDEX(Referrals!G$6:G$35,MATCH(F32,Referrals!A$6:A$35,0))&lt;=G32,ISNUMBER(INDEX(Referrals!F$6:F$35,MATCH(F32,Referrals!A$6:A$35,0))),INDEX(Referrals!F$6:F$35,MATCH(F32,Referrals!A$6:A$35,0))&gt;0,G32&gt;=INDEX(Referrals!F$6:F$35,MATCH(F32,Referrals!A$6:A$35,0)),G32&lt;=EDATE(INDEX(Referrals!F$6:F$35,MATCH(F32,Referrals!A$6:A$35,0)),12),OR(INDEX(Referrals!E$6:E$35,MATCH(F32,Referrals!A$6:A$35,0))="Accepted",INDEX(Referrals!E$6:E$35,MATCH(F32,Referrals!A$6:A$35,0))="Proposal",INDEX(Referrals!E$6:E$35,MATCH(F32,Referrals!A$6:A$35,0))="Won",INDEX(Referrals!E$6:E$35,MATCH(F32,Referrals!A$6:A$35,0))="Closed"),COUNTIFS(Meetings!B$6:B$35,B32,Meetings!C$6:C$35,A32,Meetings!D$6:D$35,F32,Meetings!T$6:T$35,"Qualifies",Meetings!S$6:S$35,"Conditional bonus",Meetings!G$6:G$35,"&lt;="&amp;G32)=1,COUNTIFS(Payments!B$6:B$35,F32,Payments!E$6:E$35,G32,Payments!F$6:F$35,"&gt;0",Payments!N$6:N$35,"&lt;&gt;")&gt;0),"Ready","Review trigger evidence"))))</x:f>
      </x:c>
      <x:c r="J32" s="40" t="str">
        <x:f>IF(A32="","",COUNTIFS(Meetings!B$6:B$35,B32,Meetings!C$6:C$35,A32,Meetings!L$6:L$35,100,Meetings!S$6:S$35,"Conditional bonus"))</x:f>
      </x:c>
      <x:c r="K32" s="41" t="str">
        <x:f>IF(A32="","",SUMIFS(Meetings!L$6:L$35,Meetings!B$6:B$35,B32,Meetings!C$6:C$35,A32,Meetings!S$6:S$35,"Conditional bonus"))</x:f>
      </x:c>
      <x:c r="L32" s="41" t="str">
        <x:f>IF(A32="","",SUMIFS(Meetings!M$6:M$35,Meetings!B$6:B$35,B32,Meetings!C$6:C$35,A32,Meetings!S$6:S$35,"Conditional bonus"))</x:f>
      </x:c>
      <x:c r="M32" s="41" t="str">
        <x:f>IF(A32="","",IF(AND(I32="Ready",W32="Valid",COUNTIFS(Meetings!B$6:B$35,B32,Meetings!C$6:C$35,A32,Meetings!S$6:S$35,"Conditional bonus",Meetings!V$6:V$35,"Review payment / refund reconciliation")=0),SUMIFS(Meetings!P$6:P$35,Meetings!B$6:B$35,B32,Meetings!C$6:C$35,A32,Meetings!S$6:S$35,"Conditional bonus"),0))</x:f>
      </x:c>
      <x:c r="N32" s="41" t="str">
        <x:f>IF(A32="","",IF(AND(I32&lt;&gt;"Ready",W32="Valid"),MAX(0,K32-T32-L32+U32),0))</x:f>
      </x:c>
      <x:c r="O32" s="39" t="str">
        <x:f>IF(A32="","",IF(OR(W32&lt;&gt;"Valid",COUNTIFS(Meetings!B$6:B$35,B32,Meetings!C$6:C$35,A32,Meetings!S$6:S$35,"Conditional bonus",Meetings!V$6:V$35,"Review payment / refund reconciliation")&gt;0),"Review payments / refund reconciliation",IF(V32&gt;0,"Recovery outstanding; reconcile separately",IF(I32="Ready",IF(M32=0,"Settled / no outstanding bonus","Payable; reconcile individual due dates"),I32))))</x:f>
      </x:c>
      <x:c r="P32" s="39" t="str">
        <x:f>IF(AND(I32="Ready",K32&gt;0),WORKDAY(MAX(G32,Q32),5),"")</x:f>
      </x:c>
      <x:c r="Q32" s="39" t="str">
        <x:f>IF(I32="Ready",SUMIFS(Meetings!I$6:I$35,Meetings!B$6:B$35,B32,Meetings!C$6:C$35,A32,Meetings!D$6:D$35,F32,Meetings!T$6:T$35,"Qualifies",Meetings!S$6:S$35,"Conditional bonus"),"")</x:f>
      </x:c>
      <x:c r="R32" s="49"/>
      <x:c r="S32" s="30"/>
      <x:c r="T32" s="41" t="str">
        <x:f>IF(A32="","",SUMIFS(Meetings!W$6:W$35,Meetings!B$6:B$35,B32,Meetings!C$6:C$35,A32,Meetings!S$6:S$35,"Conditional bonus"))</x:f>
      </x:c>
      <x:c r="U32" s="41" t="str">
        <x:f>IF(A32="","",SUMIFS(Meetings!X$6:X$35,Meetings!B$6:B$35,B32,Meetings!C$6:C$35,A32,Meetings!S$6:S$35,"Conditional bonus"))</x:f>
      </x:c>
      <x:c r="V32" s="41" t="str">
        <x:f>IF(A32="","",SUMIFS(Meetings!Y$6:Y$35,Meetings!B$6:B$35,B32,Meetings!C$6:C$35,A32,Meetings!S$6:S$35,"Conditional bonus"))</x:f>
      </x:c>
      <x:c r="W32" s="48" t="str">
        <x:f>IF(A32="","",IF(OR(AND(R32&lt;&gt;"",NOT(ISNUMBER(R32))),R32&lt;0,R32&gt;1,AND(R32&gt;0,OR(S32="",I32&lt;&gt;"Ready"))),"Review refund basis / evidence","Valid"))</x:f>
      </x:c>
      <x:c r="X32" s="41" t="str">
        <x:f>IF(A32="","",MAX(0,K32-T32))</x:f>
      </x:c>
    </x:row>
    <x:row r="33" ht="42" customHeight="1">
      <x:c r="A33" s="27"/>
      <x:c r="B33" s="27"/>
      <x:c r="C33" s="28"/>
      <x:c r="D33" s="28" t="str">
        <x:f>IF(ISNUMBER(C33),C33+60,"")</x:f>
      </x:c>
      <x:c r="E33" s="27"/>
      <x:c r="F33" s="28"/>
      <x:c r="G33" s="28" t="str">
        <x:f>IF(OR(F33="",COUNTIF(Referrals!A$6:A$35,F33)&lt;&gt;1),"",IF(INDEX(Referrals!H$6:H$35,MATCH(F33,Referrals!A$6:A$35,0))&gt;0,INDEX(Referrals!H$6:H$35,MATCH(F33,Referrals!A$6:A$35,0)),""))</x:f>
      </x:c>
      <x:c r="H33" s="28"/>
      <x:c r="I33" s="39" t="str">
        <x:f>IF(A33="","",IF(OR(B33="",NOT(ISNUMBER(C33)),E33="",COUNTIFS(A$6:A$35,A33,B$6:B$35,B33)&lt;&gt;1),"Review pilot record",IF(OR(F33="",G33="",H33=""),"Awaiting eligible cleared payment",IF(AND(OR(INDEX(Referrals!B$6:B$35,MATCH(F33,Referrals!A$6:A$35,0))=B33,AND(INDEX(Referrals!Q$6:Q$35,MATCH(F33,Referrals!A$6:A$35,0))=B33,INDEX(Referrals!R$6:R$35,MATCH(F33,Referrals!A$6:A$35,0))&lt;&gt;"")),INDEX(Referrals!D$6:D$35,MATCH(F33,Referrals!A$6:A$35,0))="Outbound opportunity",ISNUMBER(G33),ISNUMBER(INDEX(Referrals!G$6:G$35,MATCH(F33,Referrals!A$6:A$35,0))),INDEX(Referrals!G$6:G$35,MATCH(F33,Referrals!A$6:A$35,0))&gt;0,INDEX(Referrals!G$6:G$35,MATCH(F33,Referrals!A$6:A$35,0))&lt;=G33,ISNUMBER(INDEX(Referrals!F$6:F$35,MATCH(F33,Referrals!A$6:A$35,0))),INDEX(Referrals!F$6:F$35,MATCH(F33,Referrals!A$6:A$35,0))&gt;0,G33&gt;=INDEX(Referrals!F$6:F$35,MATCH(F33,Referrals!A$6:A$35,0)),G33&lt;=EDATE(INDEX(Referrals!F$6:F$35,MATCH(F33,Referrals!A$6:A$35,0)),12),OR(INDEX(Referrals!E$6:E$35,MATCH(F33,Referrals!A$6:A$35,0))="Accepted",INDEX(Referrals!E$6:E$35,MATCH(F33,Referrals!A$6:A$35,0))="Proposal",INDEX(Referrals!E$6:E$35,MATCH(F33,Referrals!A$6:A$35,0))="Won",INDEX(Referrals!E$6:E$35,MATCH(F33,Referrals!A$6:A$35,0))="Closed"),COUNTIFS(Meetings!B$6:B$35,B33,Meetings!C$6:C$35,A33,Meetings!D$6:D$35,F33,Meetings!T$6:T$35,"Qualifies",Meetings!S$6:S$35,"Conditional bonus",Meetings!G$6:G$35,"&lt;="&amp;G33)=1,COUNTIFS(Payments!B$6:B$35,F33,Payments!E$6:E$35,G33,Payments!F$6:F$35,"&gt;0",Payments!N$6:N$35,"&lt;&gt;")&gt;0),"Ready","Review trigger evidence"))))</x:f>
      </x:c>
      <x:c r="J33" s="40" t="str">
        <x:f>IF(A33="","",COUNTIFS(Meetings!B$6:B$35,B33,Meetings!C$6:C$35,A33,Meetings!L$6:L$35,100,Meetings!S$6:S$35,"Conditional bonus"))</x:f>
      </x:c>
      <x:c r="K33" s="41" t="str">
        <x:f>IF(A33="","",SUMIFS(Meetings!L$6:L$35,Meetings!B$6:B$35,B33,Meetings!C$6:C$35,A33,Meetings!S$6:S$35,"Conditional bonus"))</x:f>
      </x:c>
      <x:c r="L33" s="41" t="str">
        <x:f>IF(A33="","",SUMIFS(Meetings!M$6:M$35,Meetings!B$6:B$35,B33,Meetings!C$6:C$35,A33,Meetings!S$6:S$35,"Conditional bonus"))</x:f>
      </x:c>
      <x:c r="M33" s="41" t="str">
        <x:f>IF(A33="","",IF(AND(I33="Ready",W33="Valid",COUNTIFS(Meetings!B$6:B$35,B33,Meetings!C$6:C$35,A33,Meetings!S$6:S$35,"Conditional bonus",Meetings!V$6:V$35,"Review payment / refund reconciliation")=0),SUMIFS(Meetings!P$6:P$35,Meetings!B$6:B$35,B33,Meetings!C$6:C$35,A33,Meetings!S$6:S$35,"Conditional bonus"),0))</x:f>
      </x:c>
      <x:c r="N33" s="41" t="str">
        <x:f>IF(A33="","",IF(AND(I33&lt;&gt;"Ready",W33="Valid"),MAX(0,K33-T33-L33+U33),0))</x:f>
      </x:c>
      <x:c r="O33" s="39" t="str">
        <x:f>IF(A33="","",IF(OR(W33&lt;&gt;"Valid",COUNTIFS(Meetings!B$6:B$35,B33,Meetings!C$6:C$35,A33,Meetings!S$6:S$35,"Conditional bonus",Meetings!V$6:V$35,"Review payment / refund reconciliation")&gt;0),"Review payments / refund reconciliation",IF(V33&gt;0,"Recovery outstanding; reconcile separately",IF(I33="Ready",IF(M33=0,"Settled / no outstanding bonus","Payable; reconcile individual due dates"),I33))))</x:f>
      </x:c>
      <x:c r="P33" s="39" t="str">
        <x:f>IF(AND(I33="Ready",K33&gt;0),WORKDAY(MAX(G33,Q33),5),"")</x:f>
      </x:c>
      <x:c r="Q33" s="39" t="str">
        <x:f>IF(I33="Ready",SUMIFS(Meetings!I$6:I$35,Meetings!B$6:B$35,B33,Meetings!C$6:C$35,A33,Meetings!D$6:D$35,F33,Meetings!T$6:T$35,"Qualifies",Meetings!S$6:S$35,"Conditional bonus"),"")</x:f>
      </x:c>
      <x:c r="R33" s="49"/>
      <x:c r="S33" s="30"/>
      <x:c r="T33" s="41" t="str">
        <x:f>IF(A33="","",SUMIFS(Meetings!W$6:W$35,Meetings!B$6:B$35,B33,Meetings!C$6:C$35,A33,Meetings!S$6:S$35,"Conditional bonus"))</x:f>
      </x:c>
      <x:c r="U33" s="41" t="str">
        <x:f>IF(A33="","",SUMIFS(Meetings!X$6:X$35,Meetings!B$6:B$35,B33,Meetings!C$6:C$35,A33,Meetings!S$6:S$35,"Conditional bonus"))</x:f>
      </x:c>
      <x:c r="V33" s="41" t="str">
        <x:f>IF(A33="","",SUMIFS(Meetings!Y$6:Y$35,Meetings!B$6:B$35,B33,Meetings!C$6:C$35,A33,Meetings!S$6:S$35,"Conditional bonus"))</x:f>
      </x:c>
      <x:c r="W33" s="48" t="str">
        <x:f>IF(A33="","",IF(OR(AND(R33&lt;&gt;"",NOT(ISNUMBER(R33))),R33&lt;0,R33&gt;1,AND(R33&gt;0,OR(S33="",I33&lt;&gt;"Ready"))),"Review refund basis / evidence","Valid"))</x:f>
      </x:c>
      <x:c r="X33" s="41" t="str">
        <x:f>IF(A33="","",MAX(0,K33-T33))</x:f>
      </x:c>
    </x:row>
    <x:row r="34" ht="42" customHeight="1">
      <x:c r="A34" s="27"/>
      <x:c r="B34" s="27"/>
      <x:c r="C34" s="28"/>
      <x:c r="D34" s="28" t="str">
        <x:f>IF(ISNUMBER(C34),C34+60,"")</x:f>
      </x:c>
      <x:c r="E34" s="27"/>
      <x:c r="F34" s="28"/>
      <x:c r="G34" s="28" t="str">
        <x:f>IF(OR(F34="",COUNTIF(Referrals!A$6:A$35,F34)&lt;&gt;1),"",IF(INDEX(Referrals!H$6:H$35,MATCH(F34,Referrals!A$6:A$35,0))&gt;0,INDEX(Referrals!H$6:H$35,MATCH(F34,Referrals!A$6:A$35,0)),""))</x:f>
      </x:c>
      <x:c r="H34" s="28"/>
      <x:c r="I34" s="39" t="str">
        <x:f>IF(A34="","",IF(OR(B34="",NOT(ISNUMBER(C34)),E34="",COUNTIFS(A$6:A$35,A34,B$6:B$35,B34)&lt;&gt;1),"Review pilot record",IF(OR(F34="",G34="",H34=""),"Awaiting eligible cleared payment",IF(AND(OR(INDEX(Referrals!B$6:B$35,MATCH(F34,Referrals!A$6:A$35,0))=B34,AND(INDEX(Referrals!Q$6:Q$35,MATCH(F34,Referrals!A$6:A$35,0))=B34,INDEX(Referrals!R$6:R$35,MATCH(F34,Referrals!A$6:A$35,0))&lt;&gt;"")),INDEX(Referrals!D$6:D$35,MATCH(F34,Referrals!A$6:A$35,0))="Outbound opportunity",ISNUMBER(G34),ISNUMBER(INDEX(Referrals!G$6:G$35,MATCH(F34,Referrals!A$6:A$35,0))),INDEX(Referrals!G$6:G$35,MATCH(F34,Referrals!A$6:A$35,0))&gt;0,INDEX(Referrals!G$6:G$35,MATCH(F34,Referrals!A$6:A$35,0))&lt;=G34,ISNUMBER(INDEX(Referrals!F$6:F$35,MATCH(F34,Referrals!A$6:A$35,0))),INDEX(Referrals!F$6:F$35,MATCH(F34,Referrals!A$6:A$35,0))&gt;0,G34&gt;=INDEX(Referrals!F$6:F$35,MATCH(F34,Referrals!A$6:A$35,0)),G34&lt;=EDATE(INDEX(Referrals!F$6:F$35,MATCH(F34,Referrals!A$6:A$35,0)),12),OR(INDEX(Referrals!E$6:E$35,MATCH(F34,Referrals!A$6:A$35,0))="Accepted",INDEX(Referrals!E$6:E$35,MATCH(F34,Referrals!A$6:A$35,0))="Proposal",INDEX(Referrals!E$6:E$35,MATCH(F34,Referrals!A$6:A$35,0))="Won",INDEX(Referrals!E$6:E$35,MATCH(F34,Referrals!A$6:A$35,0))="Closed"),COUNTIFS(Meetings!B$6:B$35,B34,Meetings!C$6:C$35,A34,Meetings!D$6:D$35,F34,Meetings!T$6:T$35,"Qualifies",Meetings!S$6:S$35,"Conditional bonus",Meetings!G$6:G$35,"&lt;="&amp;G34)=1,COUNTIFS(Payments!B$6:B$35,F34,Payments!E$6:E$35,G34,Payments!F$6:F$35,"&gt;0",Payments!N$6:N$35,"&lt;&gt;")&gt;0),"Ready","Review trigger evidence"))))</x:f>
      </x:c>
      <x:c r="J34" s="40" t="str">
        <x:f>IF(A34="","",COUNTIFS(Meetings!B$6:B$35,B34,Meetings!C$6:C$35,A34,Meetings!L$6:L$35,100,Meetings!S$6:S$35,"Conditional bonus"))</x:f>
      </x:c>
      <x:c r="K34" s="41" t="str">
        <x:f>IF(A34="","",SUMIFS(Meetings!L$6:L$35,Meetings!B$6:B$35,B34,Meetings!C$6:C$35,A34,Meetings!S$6:S$35,"Conditional bonus"))</x:f>
      </x:c>
      <x:c r="L34" s="41" t="str">
        <x:f>IF(A34="","",SUMIFS(Meetings!M$6:M$35,Meetings!B$6:B$35,B34,Meetings!C$6:C$35,A34,Meetings!S$6:S$35,"Conditional bonus"))</x:f>
      </x:c>
      <x:c r="M34" s="41" t="str">
        <x:f>IF(A34="","",IF(AND(I34="Ready",W34="Valid",COUNTIFS(Meetings!B$6:B$35,B34,Meetings!C$6:C$35,A34,Meetings!S$6:S$35,"Conditional bonus",Meetings!V$6:V$35,"Review payment / refund reconciliation")=0),SUMIFS(Meetings!P$6:P$35,Meetings!B$6:B$35,B34,Meetings!C$6:C$35,A34,Meetings!S$6:S$35,"Conditional bonus"),0))</x:f>
      </x:c>
      <x:c r="N34" s="41" t="str">
        <x:f>IF(A34="","",IF(AND(I34&lt;&gt;"Ready",W34="Valid"),MAX(0,K34-T34-L34+U34),0))</x:f>
      </x:c>
      <x:c r="O34" s="39" t="str">
        <x:f>IF(A34="","",IF(OR(W34&lt;&gt;"Valid",COUNTIFS(Meetings!B$6:B$35,B34,Meetings!C$6:C$35,A34,Meetings!S$6:S$35,"Conditional bonus",Meetings!V$6:V$35,"Review payment / refund reconciliation")&gt;0),"Review payments / refund reconciliation",IF(V34&gt;0,"Recovery outstanding; reconcile separately",IF(I34="Ready",IF(M34=0,"Settled / no outstanding bonus","Payable; reconcile individual due dates"),I34))))</x:f>
      </x:c>
      <x:c r="P34" s="39" t="str">
        <x:f>IF(AND(I34="Ready",K34&gt;0),WORKDAY(MAX(G34,Q34),5),"")</x:f>
      </x:c>
      <x:c r="Q34" s="39" t="str">
        <x:f>IF(I34="Ready",SUMIFS(Meetings!I$6:I$35,Meetings!B$6:B$35,B34,Meetings!C$6:C$35,A34,Meetings!D$6:D$35,F34,Meetings!T$6:T$35,"Qualifies",Meetings!S$6:S$35,"Conditional bonus"),"")</x:f>
      </x:c>
      <x:c r="R34" s="49"/>
      <x:c r="S34" s="30"/>
      <x:c r="T34" s="41" t="str">
        <x:f>IF(A34="","",SUMIFS(Meetings!W$6:W$35,Meetings!B$6:B$35,B34,Meetings!C$6:C$35,A34,Meetings!S$6:S$35,"Conditional bonus"))</x:f>
      </x:c>
      <x:c r="U34" s="41" t="str">
        <x:f>IF(A34="","",SUMIFS(Meetings!X$6:X$35,Meetings!B$6:B$35,B34,Meetings!C$6:C$35,A34,Meetings!S$6:S$35,"Conditional bonus"))</x:f>
      </x:c>
      <x:c r="V34" s="41" t="str">
        <x:f>IF(A34="","",SUMIFS(Meetings!Y$6:Y$35,Meetings!B$6:B$35,B34,Meetings!C$6:C$35,A34,Meetings!S$6:S$35,"Conditional bonus"))</x:f>
      </x:c>
      <x:c r="W34" s="48" t="str">
        <x:f>IF(A34="","",IF(OR(AND(R34&lt;&gt;"",NOT(ISNUMBER(R34))),R34&lt;0,R34&gt;1,AND(R34&gt;0,OR(S34="",I34&lt;&gt;"Ready"))),"Review refund basis / evidence","Valid"))</x:f>
      </x:c>
      <x:c r="X34" s="41" t="str">
        <x:f>IF(A34="","",MAX(0,K34-T34))</x:f>
      </x:c>
    </x:row>
    <x:row r="35" ht="42" customHeight="1">
      <x:c r="A35" s="32"/>
      <x:c r="B35" s="32"/>
      <x:c r="C35" s="33"/>
      <x:c r="D35" s="28" t="str">
        <x:f>IF(ISNUMBER(C35),C35+60,"")</x:f>
      </x:c>
      <x:c r="E35" s="32"/>
      <x:c r="F35" s="33"/>
      <x:c r="G35" s="28" t="str">
        <x:f>IF(OR(F35="",COUNTIF(Referrals!A$6:A$35,F35)&lt;&gt;1),"",IF(INDEX(Referrals!H$6:H$35,MATCH(F35,Referrals!A$6:A$35,0))&gt;0,INDEX(Referrals!H$6:H$35,MATCH(F35,Referrals!A$6:A$35,0)),""))</x:f>
      </x:c>
      <x:c r="H35" s="33"/>
      <x:c r="I35" s="39" t="str">
        <x:f>IF(A35="","",IF(OR(B35="",NOT(ISNUMBER(C35)),E35="",COUNTIFS(A$6:A$35,A35,B$6:B$35,B35)&lt;&gt;1),"Review pilot record",IF(OR(F35="",G35="",H35=""),"Awaiting eligible cleared payment",IF(AND(OR(INDEX(Referrals!B$6:B$35,MATCH(F35,Referrals!A$6:A$35,0))=B35,AND(INDEX(Referrals!Q$6:Q$35,MATCH(F35,Referrals!A$6:A$35,0))=B35,INDEX(Referrals!R$6:R$35,MATCH(F35,Referrals!A$6:A$35,0))&lt;&gt;"")),INDEX(Referrals!D$6:D$35,MATCH(F35,Referrals!A$6:A$35,0))="Outbound opportunity",ISNUMBER(G35),ISNUMBER(INDEX(Referrals!G$6:G$35,MATCH(F35,Referrals!A$6:A$35,0))),INDEX(Referrals!G$6:G$35,MATCH(F35,Referrals!A$6:A$35,0))&gt;0,INDEX(Referrals!G$6:G$35,MATCH(F35,Referrals!A$6:A$35,0))&lt;=G35,ISNUMBER(INDEX(Referrals!F$6:F$35,MATCH(F35,Referrals!A$6:A$35,0))),INDEX(Referrals!F$6:F$35,MATCH(F35,Referrals!A$6:A$35,0))&gt;0,G35&gt;=INDEX(Referrals!F$6:F$35,MATCH(F35,Referrals!A$6:A$35,0)),G35&lt;=EDATE(INDEX(Referrals!F$6:F$35,MATCH(F35,Referrals!A$6:A$35,0)),12),OR(INDEX(Referrals!E$6:E$35,MATCH(F35,Referrals!A$6:A$35,0))="Accepted",INDEX(Referrals!E$6:E$35,MATCH(F35,Referrals!A$6:A$35,0))="Proposal",INDEX(Referrals!E$6:E$35,MATCH(F35,Referrals!A$6:A$35,0))="Won",INDEX(Referrals!E$6:E$35,MATCH(F35,Referrals!A$6:A$35,0))="Closed"),COUNTIFS(Meetings!B$6:B$35,B35,Meetings!C$6:C$35,A35,Meetings!D$6:D$35,F35,Meetings!T$6:T$35,"Qualifies",Meetings!S$6:S$35,"Conditional bonus",Meetings!G$6:G$35,"&lt;="&amp;G35)=1,COUNTIFS(Payments!B$6:B$35,F35,Payments!E$6:E$35,G35,Payments!F$6:F$35,"&gt;0",Payments!N$6:N$35,"&lt;&gt;")&gt;0),"Ready","Review trigger evidence"))))</x:f>
      </x:c>
      <x:c r="J35" s="40" t="str">
        <x:f>IF(A35="","",COUNTIFS(Meetings!B$6:B$35,B35,Meetings!C$6:C$35,A35,Meetings!L$6:L$35,100,Meetings!S$6:S$35,"Conditional bonus"))</x:f>
      </x:c>
      <x:c r="K35" s="41" t="str">
        <x:f>IF(A35="","",SUMIFS(Meetings!L$6:L$35,Meetings!B$6:B$35,B35,Meetings!C$6:C$35,A35,Meetings!S$6:S$35,"Conditional bonus"))</x:f>
      </x:c>
      <x:c r="L35" s="41" t="str">
        <x:f>IF(A35="","",SUMIFS(Meetings!M$6:M$35,Meetings!B$6:B$35,B35,Meetings!C$6:C$35,A35,Meetings!S$6:S$35,"Conditional bonus"))</x:f>
      </x:c>
      <x:c r="M35" s="41" t="str">
        <x:f>IF(A35="","",IF(AND(I35="Ready",W35="Valid",COUNTIFS(Meetings!B$6:B$35,B35,Meetings!C$6:C$35,A35,Meetings!S$6:S$35,"Conditional bonus",Meetings!V$6:V$35,"Review payment / refund reconciliation")=0),SUMIFS(Meetings!P$6:P$35,Meetings!B$6:B$35,B35,Meetings!C$6:C$35,A35,Meetings!S$6:S$35,"Conditional bonus"),0))</x:f>
      </x:c>
      <x:c r="N35" s="41" t="str">
        <x:f>IF(A35="","",IF(AND(I35&lt;&gt;"Ready",W35="Valid"),MAX(0,K35-T35-L35+U35),0))</x:f>
      </x:c>
      <x:c r="O35" s="39" t="str">
        <x:f>IF(A35="","",IF(OR(W35&lt;&gt;"Valid",COUNTIFS(Meetings!B$6:B$35,B35,Meetings!C$6:C$35,A35,Meetings!S$6:S$35,"Conditional bonus",Meetings!V$6:V$35,"Review payment / refund reconciliation")&gt;0),"Review payments / refund reconciliation",IF(V35&gt;0,"Recovery outstanding; reconcile separately",IF(I35="Ready",IF(M35=0,"Settled / no outstanding bonus","Payable; reconcile individual due dates"),I35))))</x:f>
      </x:c>
      <x:c r="P35" s="39" t="str">
        <x:f>IF(AND(I35="Ready",K35&gt;0),WORKDAY(MAX(G35,Q35),5),"")</x:f>
      </x:c>
      <x:c r="Q35" s="39" t="str">
        <x:f>IF(I35="Ready",SUMIFS(Meetings!I$6:I$35,Meetings!B$6:B$35,B35,Meetings!C$6:C$35,A35,Meetings!D$6:D$35,F35,Meetings!T$6:T$35,"Qualifies",Meetings!S$6:S$35,"Conditional bonus"),"")</x:f>
      </x:c>
      <x:c r="R35" s="49"/>
      <x:c r="S35" s="30"/>
      <x:c r="T35" s="41" t="str">
        <x:f>IF(A35="","",SUMIFS(Meetings!W$6:W$35,Meetings!B$6:B$35,B35,Meetings!C$6:C$35,A35,Meetings!S$6:S$35,"Conditional bonus"))</x:f>
      </x:c>
      <x:c r="U35" s="41" t="str">
        <x:f>IF(A35="","",SUMIFS(Meetings!X$6:X$35,Meetings!B$6:B$35,B35,Meetings!C$6:C$35,A35,Meetings!S$6:S$35,"Conditional bonus"))</x:f>
      </x:c>
      <x:c r="V35" s="41" t="str">
        <x:f>IF(A35="","",SUMIFS(Meetings!Y$6:Y$35,Meetings!B$6:B$35,B35,Meetings!C$6:C$35,A35,Meetings!S$6:S$35,"Conditional bonus"))</x:f>
      </x:c>
      <x:c r="W35" s="48" t="str">
        <x:f>IF(A35="","",IF(OR(AND(R35&lt;&gt;"",NOT(ISNUMBER(R35))),R35&lt;0,R35&gt;1,AND(R35&gt;0,OR(S35="",I35&lt;&gt;"Ready"))),"Review refund basis / evidence","Valid"))</x:f>
      </x:c>
      <x:c r="X35" s="41" t="str">
        <x:f>IF(A35="","",MAX(0,K35-T35))</x:f>
      </x:c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/>
      <x:c r="M36"/>
      <x:c r="N36"/>
      <x:c r="O36"/>
      <x:c r="P36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/>
      <x:c r="M37"/>
      <x:c r="N37"/>
      <x:c r="O37"/>
      <x:c r="P37"/>
    </x:row>
    <x:row r="38">
      <x:c r="A38" s="2" t="str">
        <x:v>One row per partner/pilot. Inputs: A/B/C/E/F/H. H links written approval that the first eligible receipt unlocks this partner’s bonus under the original attribution rules.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/>
      <x:c r="M38"/>
      <x:c r="N38"/>
      <x:c r="O38"/>
      <x:c r="P38"/>
    </x:row>
    <x:row r="39">
      <x:c r="A39" s="4" t="str">
        <x:v>An approved qualified meeting can unlock accumulated bonuses even after the four-bonus cap. Its eligible receipt must reconcile in Payments. Joint recipients require Referrals Q/R approval.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/>
      <x:c r="M39"/>
      <x:c r="N39"/>
      <x:c r="O39"/>
      <x:c r="P39"/>
    </x:row>
    <x:row r="40">
      <x:c r="A40" s="4" t="str">
        <x:v>Refunds: R is the documented refunded share (0–100%) of eligible cleared revenue on the engagement that unlocked this balance. S links the dated revenue basis, refund, percentage and affected entries. Unrelated refunds do not apply.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/>
      <x:c r="M40"/>
      <x:c r="N40"/>
      <x:c r="O40"/>
      <x:c r="P40"/>
    </x:row>
    <x:row r="41">
      <x:c r="A41" s="26" t="str">
        <x:v>T reduces bonuses proportionally; Meetings X records actual cash recovery or agreed offset once. V shows recovery still due. Commission adjustments stay separately in Payments I; never deduct the same bonus recovery twice. Preserve prior agreed terms.</x:v>
      </x:c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</x:row>
  </x:sheetData>
  <x:dataValidations count="2">
    <x:dataValidation type="none" sqref="A6:P35"/>
    <x:dataValidation type="none" sqref="R6:X35"/>
  </x:dataValidations>
  <x:pageMargins left="0.7" right="0.7" top="0.75" bottom="0.75" header="0.3" footer="0.3"/>
</x:worksheet>
</file>